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8830" windowHeight="11565" firstSheet="7" activeTab="13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 2 кв. 2022" sheetId="8" r:id="rId8"/>
    <sheet name="Оценка за 2013 год по алфавиту)" sheetId="9" state="hidden" r:id="rId9"/>
    <sheet name="Оценка за 2013 год  посл. (2)" sheetId="10" state="hidden" r:id="rId10"/>
    <sheet name="ДИНАМИКА на  1.07.2022" sheetId="11" r:id="rId11"/>
    <sheet name="РЕЙТИНГ на 01.07.2022" sheetId="12" r:id="rId12"/>
    <sheet name="Диаграмма1 итоги 1 полугод 2022" sheetId="13" r:id="rId13"/>
    <sheet name="Диаграмма 2 динамика 1 пол.2022" sheetId="14" r:id="rId14"/>
    <sheet name="Лист1" sheetId="15" r:id="rId15"/>
  </sheets>
  <externalReferences>
    <externalReference r:id="rId18"/>
  </externalReferences>
  <definedNames>
    <definedName name="_xlnm._FilterDatabase" localSheetId="14" hidden="1">'Лист1'!$A$3:$B$3</definedName>
    <definedName name="_xlnm.Print_Titles" localSheetId="7">' 2 кв. 2022'!$A:$B</definedName>
    <definedName name="_xlnm.Print_Titles" localSheetId="5">'Оценка за 2013 год'!$A:$B</definedName>
    <definedName name="_xlnm.Print_Titles" localSheetId="9">'Оценка за 2013 год  посл. (2)'!$A:$B</definedName>
    <definedName name="_xlnm.Print_Titles" localSheetId="0">'Оценка за 2013 год  правда'!$A:$B</definedName>
    <definedName name="_xlnm.Print_Titles" localSheetId="8">'Оценка за 2013 год по алфавиту)'!$A:$B</definedName>
    <definedName name="_xlnm.Print_Area" localSheetId="7">' 2 кв. 2022'!$A$1:$ET$34</definedName>
    <definedName name="_xlnm.Print_Area" localSheetId="5">'Оценка за 2013 год'!$A$1:$ES$34</definedName>
    <definedName name="_xlnm.Print_Area" localSheetId="9">'Оценка за 2013 год  посл. (2)'!$A$1:$ER$34</definedName>
    <definedName name="_xlnm.Print_Area" localSheetId="0">'Оценка за 2013 год  правда'!$A$1:$EQ$34</definedName>
    <definedName name="_xlnm.Print_Area" localSheetId="8">'Оценка за 2013 год по алфавиту)'!$A$1:$EX$35</definedName>
  </definedNames>
  <calcPr fullCalcOnLoad="1"/>
</workbook>
</file>

<file path=xl/comments8.xml><?xml version="1.0" encoding="utf-8"?>
<comments xmlns="http://schemas.openxmlformats.org/spreadsheetml/2006/main">
  <authors>
    <author>Автор</author>
  </authors>
  <commentList>
    <comment ref="AO10" authorId="0">
      <text>
        <r>
          <rPr>
            <sz val="20"/>
            <rFont val="Times New Roman"/>
            <family val="1"/>
          </rPr>
          <t>весь столбик без учета межбюджетных трансфертов</t>
        </r>
      </text>
    </comment>
    <comment ref="AY10" authorId="0">
      <text>
        <r>
          <rPr>
            <sz val="20"/>
            <rFont val="Times New Roman"/>
            <family val="1"/>
          </rPr>
          <t>весь столбик без учета межбюджетных трансфертов</t>
        </r>
      </text>
    </comment>
  </commentList>
</comments>
</file>

<file path=xl/sharedStrings.xml><?xml version="1.0" encoding="utf-8"?>
<sst xmlns="http://schemas.openxmlformats.org/spreadsheetml/2006/main" count="1837" uniqueCount="197">
  <si>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</si>
  <si>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</si>
  <si>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</si>
  <si>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</si>
  <si>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</si>
  <si>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</si>
  <si>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</si>
  <si>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</si>
  <si>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</si>
  <si>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</si>
  <si>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</si>
  <si>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</si>
  <si>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</si>
  <si>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</si>
  <si>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</si>
  <si>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</si>
  <si>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</si>
  <si>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</si>
  <si>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</si>
  <si>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</si>
  <si>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</si>
  <si>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</si>
  <si>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</si>
  <si>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</si>
  <si>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</si>
  <si>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</si>
  <si>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</si>
  <si>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</si>
  <si>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</si>
  <si>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</si>
  <si>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</si>
  <si>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</si>
  <si>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</si>
  <si>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</si>
  <si>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</si>
  <si>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</si>
  <si>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</si>
  <si>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</si>
  <si>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</si>
  <si>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</si>
  <si>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</si>
  <si>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</si>
  <si>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</si>
  <si>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</si>
  <si>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</si>
  <si>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</si>
  <si>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</si>
  <si>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</si>
  <si>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</si>
  <si>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</si>
  <si>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</si>
  <si>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</si>
  <si>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</si>
  <si>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</si>
  <si>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</si>
  <si>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</si>
  <si>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</si>
  <si>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</si>
  <si>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</si>
  <si>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</si>
  <si>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</si>
  <si>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</si>
  <si>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</si>
  <si>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</si>
  <si>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</si>
  <si>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</si>
  <si>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</si>
  <si>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</si>
  <si>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</si>
  <si>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</si>
  <si>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</si>
  <si>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</si>
  <si>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</si>
  <si>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</si>
  <si>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</si>
  <si>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</si>
  <si>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</si>
  <si>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</si>
  <si>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</si>
  <si>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</si>
  <si>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</si>
  <si>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</si>
  <si>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</si>
  <si>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</si>
  <si>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</si>
  <si>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</si>
  <si>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</si>
  <si>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</si>
  <si>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</si>
  <si>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</si>
  <si>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</si>
  <si>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</si>
  <si>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</si>
  <si>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</si>
  <si>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</si>
  <si>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</si>
  <si>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</si>
  <si>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</si>
  <si>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</si>
  <si>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</si>
  <si>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</si>
  <si>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</si>
  <si>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</si>
  <si>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</si>
  <si>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</si>
  <si>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</si>
  <si>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</si>
  <si>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</si>
  <si>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</si>
  <si>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</si>
  <si>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</si>
  <si>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</si>
  <si>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</si>
  <si>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</si>
  <si>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</si>
  <si>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</si>
  <si>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</si>
  <si>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</si>
  <si>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</si>
  <si>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</si>
  <si>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</si>
  <si>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</si>
  <si>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</si>
  <si>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</si>
  <si>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</si>
  <si>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</si>
  <si>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</si>
  <si>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</si>
  <si>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</si>
  <si>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</si>
  <si>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</si>
  <si>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</si>
  <si>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</si>
  <si>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</si>
  <si>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</si>
  <si>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</si>
  <si>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</si>
  <si>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</si>
  <si>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</si>
  <si>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</si>
  <si>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</si>
  <si>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</si>
  <si>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</si>
  <si>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</si>
  <si>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</si>
  <si>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</si>
  <si>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</si>
  <si>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</si>
  <si>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</si>
  <si>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</si>
  <si>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</si>
  <si>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</si>
  <si>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</si>
  <si>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</si>
  <si>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</si>
  <si>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</si>
  <si>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</si>
  <si>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</si>
  <si>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</si>
  <si>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</si>
  <si>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</si>
  <si>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</si>
  <si>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</si>
  <si>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</si>
  <si>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</si>
  <si>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</si>
  <si>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</si>
  <si>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</si>
  <si>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</si>
  <si>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</si>
  <si>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</si>
  <si>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</si>
  <si>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</si>
  <si>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Доля расходов местного бюджета, формируемых в рамках целевых программ, в общем объеме расходов местного бюджета</t>
  </si>
  <si>
    <t>Объем бюджетных ассигнований местного бюджета на реализацию целевых программ сельских (городского) поселений, тыс. рублей</t>
  </si>
  <si>
    <t>Ошибки в уточненном решении о бюджете по расходной части бюджета</t>
  </si>
  <si>
    <t>Сроки предоставления отчета по комиссии по мобилизации доходов</t>
  </si>
  <si>
    <t>Ошибки при сдаче месячной бухгалтерской отчетности</t>
  </si>
  <si>
    <t>Проекты бюджетов</t>
  </si>
  <si>
    <t>Срок  выполнения условий соглашений о передаче полномочий</t>
  </si>
  <si>
    <t>Срок освоения дорожных фондов</t>
  </si>
  <si>
    <t xml:space="preserve"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</t>
  </si>
  <si>
    <t>Фактический объем налоговых и неналоговых доходов местного бюджета на отчетную дату за аналогичный период прошлого года в нормативах 2015 года, тыс.  руб.</t>
  </si>
  <si>
    <t>в части источников финансирования дефицита бюджета по первоначальной росписи</t>
  </si>
  <si>
    <t>-</t>
  </si>
  <si>
    <t>* без учета акцизов</t>
  </si>
  <si>
    <t>Фактический объем налоговых и неналоговых доходов местного бюджета на отчетную дату за аналогичный период прошлого года в нормативах 2018 года, тыс.  руб.</t>
  </si>
  <si>
    <t>на 01.04.2019</t>
  </si>
  <si>
    <t>Степень  соблюдения  условий софинансирования и соглашений</t>
  </si>
  <si>
    <t>СРЕДНЯЯ ОЦЕНКА</t>
  </si>
  <si>
    <t>Сроки предоставления проекта бюджета поселения на 2021-2023 годы</t>
  </si>
  <si>
    <t>Плановый размер дефицита бюджета сельского (городского) поселения за отчетный период на 01.07.2020, тыс. рублей</t>
  </si>
  <si>
    <t>Плановый размер дефицита бюджета сельского (городского) поселения за отчетный период на 01.07.2019, тыс. рублей</t>
  </si>
  <si>
    <t>на 01.06.2020</t>
  </si>
  <si>
    <t>Место в рейтинге на 01.07.2021</t>
  </si>
  <si>
    <t>Место в рейтинге на 01.07.2022</t>
  </si>
  <si>
    <t>ВСЕГО на 01.07.2022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</si>
</sst>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.5"/>
      <color indexed="8"/>
      <name val="Times New Roman"/>
      <family val="1"/>
    </font>
    <font>
      <sz val="20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/>
      <right style="hair"/>
      <top style="double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 style="dashed"/>
      <bottom style="dashed"/>
    </border>
    <border>
      <left style="dotted"/>
      <right style="medium"/>
      <top style="dashed"/>
      <bottom style="dashed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</borders>
  <cellStyleXfs count="9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805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566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566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566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566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191" fontId="30" fillId="0" borderId="13" xfId="0" applyNumberFormat="1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24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24" borderId="71" xfId="0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wrapText="1"/>
    </xf>
    <xf numFmtId="176" fontId="32" fillId="0" borderId="0" xfId="0" applyNumberFormat="1" applyFont="1" applyFill="1" applyBorder="1" applyAlignment="1">
      <alignment wrapText="1"/>
    </xf>
    <xf numFmtId="43" fontId="30" fillId="0" borderId="0" xfId="839" applyFont="1" applyFill="1" applyBorder="1" applyAlignment="1">
      <alignment wrapText="1"/>
    </xf>
    <xf numFmtId="181" fontId="24" fillId="4" borderId="72" xfId="0" applyNumberFormat="1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wrapText="1"/>
    </xf>
    <xf numFmtId="0" fontId="30" fillId="0" borderId="74" xfId="0" applyFont="1" applyFill="1" applyBorder="1" applyAlignment="1">
      <alignment horizontal="center" wrapText="1"/>
    </xf>
    <xf numFmtId="0" fontId="30" fillId="0" borderId="74" xfId="0" applyFont="1" applyFill="1" applyBorder="1" applyAlignment="1">
      <alignment horizontal="center" vertical="center" wrapText="1"/>
    </xf>
    <xf numFmtId="176" fontId="30" fillId="24" borderId="74" xfId="0" applyNumberFormat="1" applyFont="1" applyFill="1" applyBorder="1" applyAlignment="1">
      <alignment horizontal="center" vertical="center" wrapText="1"/>
    </xf>
    <xf numFmtId="191" fontId="30" fillId="0" borderId="74" xfId="0" applyNumberFormat="1" applyFont="1" applyFill="1" applyBorder="1" applyAlignment="1">
      <alignment horizontal="center" vertical="center" wrapText="1"/>
    </xf>
    <xf numFmtId="190" fontId="30" fillId="24" borderId="75" xfId="0" applyNumberFormat="1" applyFont="1" applyFill="1" applyBorder="1" applyAlignment="1">
      <alignment horizontal="center" vertical="center" wrapText="1"/>
    </xf>
    <xf numFmtId="191" fontId="30" fillId="0" borderId="74" xfId="0" applyNumberFormat="1" applyFont="1" applyFill="1" applyBorder="1" applyAlignment="1">
      <alignment horizontal="center" vertical="center"/>
    </xf>
    <xf numFmtId="0" fontId="30" fillId="24" borderId="74" xfId="0" applyNumberFormat="1" applyFont="1" applyFill="1" applyBorder="1" applyAlignment="1">
      <alignment horizontal="center" vertical="center" wrapText="1"/>
    </xf>
    <xf numFmtId="10" fontId="30" fillId="0" borderId="74" xfId="0" applyNumberFormat="1" applyFont="1" applyFill="1" applyBorder="1" applyAlignment="1">
      <alignment horizontal="center" vertical="center"/>
    </xf>
    <xf numFmtId="176" fontId="30" fillId="0" borderId="74" xfId="0" applyNumberFormat="1" applyFont="1" applyFill="1" applyBorder="1" applyAlignment="1">
      <alignment horizontal="center" vertical="center" wrapText="1"/>
    </xf>
    <xf numFmtId="176" fontId="30" fillId="0" borderId="74" xfId="0" applyNumberFormat="1" applyFont="1" applyFill="1" applyBorder="1" applyAlignment="1">
      <alignment vertical="center" wrapText="1"/>
    </xf>
    <xf numFmtId="1" fontId="30" fillId="0" borderId="74" xfId="0" applyNumberFormat="1" applyFont="1" applyFill="1" applyBorder="1" applyAlignment="1">
      <alignment horizontal="center" vertical="center" wrapText="1"/>
    </xf>
    <xf numFmtId="176" fontId="24" fillId="0" borderId="74" xfId="0" applyNumberFormat="1" applyFont="1" applyFill="1" applyBorder="1" applyAlignment="1">
      <alignment horizontal="center" vertical="center" wrapText="1"/>
    </xf>
    <xf numFmtId="181" fontId="30" fillId="24" borderId="74" xfId="0" applyNumberFormat="1" applyFont="1" applyFill="1" applyBorder="1" applyAlignment="1">
      <alignment horizontal="center" vertical="center" wrapText="1"/>
    </xf>
    <xf numFmtId="0" fontId="30" fillId="0" borderId="74" xfId="0" applyFont="1" applyBorder="1" applyAlignment="1" applyProtection="1">
      <alignment horizontal="center" vertical="center" wrapText="1"/>
      <protection locked="0"/>
    </xf>
    <xf numFmtId="0" fontId="24" fillId="4" borderId="76" xfId="0" applyFont="1" applyFill="1" applyBorder="1" applyAlignment="1">
      <alignment horizontal="center" wrapText="1"/>
    </xf>
    <xf numFmtId="0" fontId="24" fillId="4" borderId="72" xfId="0" applyFont="1" applyFill="1" applyBorder="1" applyAlignment="1">
      <alignment/>
    </xf>
    <xf numFmtId="176" fontId="24" fillId="4" borderId="72" xfId="0" applyNumberFormat="1" applyFont="1" applyFill="1" applyBorder="1" applyAlignment="1">
      <alignment horizontal="center" vertical="center" wrapText="1"/>
    </xf>
    <xf numFmtId="191" fontId="24" fillId="4" borderId="72" xfId="0" applyNumberFormat="1" applyFont="1" applyFill="1" applyBorder="1" applyAlignment="1">
      <alignment horizontal="center" vertical="center" wrapText="1"/>
    </xf>
    <xf numFmtId="181" fontId="24" fillId="4" borderId="72" xfId="0" applyNumberFormat="1" applyFont="1" applyFill="1" applyBorder="1" applyAlignment="1">
      <alignment vertical="center"/>
    </xf>
    <xf numFmtId="191" fontId="24" fillId="4" borderId="72" xfId="0" applyNumberFormat="1" applyFont="1" applyFill="1" applyBorder="1" applyAlignment="1">
      <alignment horizontal="center" vertical="center"/>
    </xf>
    <xf numFmtId="176" fontId="24" fillId="4" borderId="72" xfId="0" applyNumberFormat="1" applyFont="1" applyFill="1" applyBorder="1" applyAlignment="1">
      <alignment horizontal="center" vertical="center"/>
    </xf>
    <xf numFmtId="10" fontId="24" fillId="4" borderId="72" xfId="0" applyNumberFormat="1" applyFont="1" applyFill="1" applyBorder="1" applyAlignment="1">
      <alignment horizontal="center" vertical="center"/>
    </xf>
    <xf numFmtId="181" fontId="24" fillId="4" borderId="72" xfId="0" applyNumberFormat="1" applyFont="1" applyFill="1" applyBorder="1" applyAlignment="1">
      <alignment/>
    </xf>
    <xf numFmtId="181" fontId="24" fillId="4" borderId="72" xfId="0" applyNumberFormat="1" applyFont="1" applyFill="1" applyBorder="1" applyAlignment="1">
      <alignment wrapText="1"/>
    </xf>
    <xf numFmtId="181" fontId="24" fillId="4" borderId="72" xfId="0" applyNumberFormat="1" applyFont="1" applyFill="1" applyBorder="1" applyAlignment="1">
      <alignment vertical="center" wrapText="1"/>
    </xf>
    <xf numFmtId="176" fontId="30" fillId="4" borderId="72" xfId="0" applyNumberFormat="1" applyFont="1" applyFill="1" applyBorder="1" applyAlignment="1">
      <alignment horizontal="center" vertical="center" wrapText="1"/>
    </xf>
    <xf numFmtId="0" fontId="24" fillId="4" borderId="72" xfId="0" applyNumberFormat="1" applyFont="1" applyFill="1" applyBorder="1" applyAlignment="1">
      <alignment horizontal="center" vertical="center" wrapText="1"/>
    </xf>
    <xf numFmtId="2" fontId="24" fillId="4" borderId="72" xfId="0" applyNumberFormat="1" applyFont="1" applyFill="1" applyBorder="1" applyAlignment="1">
      <alignment horizontal="center" vertical="center" wrapText="1"/>
    </xf>
    <xf numFmtId="176" fontId="24" fillId="4" borderId="72" xfId="0" applyNumberFormat="1" applyFont="1" applyFill="1" applyBorder="1" applyAlignment="1">
      <alignment vertical="center" wrapText="1"/>
    </xf>
    <xf numFmtId="1" fontId="24" fillId="4" borderId="72" xfId="457" applyNumberFormat="1" applyFont="1" applyFill="1" applyBorder="1" applyAlignment="1">
      <alignment horizontal="center" vertical="center" wrapText="1"/>
      <protection/>
    </xf>
    <xf numFmtId="176" fontId="24" fillId="4" borderId="72" xfId="457" applyNumberFormat="1" applyFont="1" applyFill="1" applyBorder="1" applyAlignment="1">
      <alignment horizontal="center" vertical="center" wrapText="1"/>
      <protection/>
    </xf>
    <xf numFmtId="1" fontId="24" fillId="4" borderId="72" xfId="0" applyNumberFormat="1" applyFont="1" applyFill="1" applyBorder="1" applyAlignment="1">
      <alignment horizontal="center" vertical="center" wrapText="1"/>
    </xf>
    <xf numFmtId="176" fontId="24" fillId="4" borderId="77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wrapText="1"/>
    </xf>
    <xf numFmtId="43" fontId="30" fillId="0" borderId="13" xfId="839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 wrapText="1"/>
    </xf>
    <xf numFmtId="176" fontId="30" fillId="24" borderId="13" xfId="0" applyNumberFormat="1" applyFont="1" applyFill="1" applyBorder="1" applyAlignment="1">
      <alignment horizontal="center" vertical="center" wrapText="1"/>
    </xf>
    <xf numFmtId="43" fontId="30" fillId="0" borderId="13" xfId="839" applyFont="1" applyFill="1" applyBorder="1" applyAlignment="1">
      <alignment horizontal="center" vertical="center" wrapText="1"/>
    </xf>
    <xf numFmtId="190" fontId="30" fillId="24" borderId="13" xfId="0" applyNumberFormat="1" applyFont="1" applyFill="1" applyBorder="1" applyAlignment="1">
      <alignment horizontal="center" vertical="center" wrapText="1"/>
    </xf>
    <xf numFmtId="0" fontId="30" fillId="24" borderId="13" xfId="0" applyNumberFormat="1" applyFont="1" applyFill="1" applyBorder="1" applyAlignment="1">
      <alignment horizontal="center" vertical="center" wrapText="1"/>
    </xf>
    <xf numFmtId="1" fontId="30" fillId="24" borderId="13" xfId="0" applyNumberFormat="1" applyFont="1" applyFill="1" applyBorder="1" applyAlignment="1">
      <alignment horizontal="center" vertical="center" wrapText="1"/>
    </xf>
    <xf numFmtId="43" fontId="30" fillId="24" borderId="13" xfId="839" applyFont="1" applyFill="1" applyBorder="1" applyAlignment="1">
      <alignment horizontal="center" vertical="center" wrapText="1"/>
    </xf>
    <xf numFmtId="176" fontId="30" fillId="24" borderId="13" xfId="0" applyNumberFormat="1" applyFont="1" applyFill="1" applyBorder="1" applyAlignment="1">
      <alignment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181" fontId="30" fillId="24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43" fontId="30" fillId="0" borderId="13" xfId="839" applyFont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10" fontId="30" fillId="0" borderId="78" xfId="0" applyNumberFormat="1" applyFont="1" applyFill="1" applyBorder="1" applyAlignment="1">
      <alignment horizontal="center" vertical="center"/>
    </xf>
    <xf numFmtId="10" fontId="30" fillId="0" borderId="22" xfId="0" applyNumberFormat="1" applyFont="1" applyFill="1" applyBorder="1" applyAlignment="1">
      <alignment horizontal="center" vertical="center"/>
    </xf>
    <xf numFmtId="10" fontId="30" fillId="28" borderId="22" xfId="0" applyNumberFormat="1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1" fontId="30" fillId="0" borderId="80" xfId="0" applyNumberFormat="1" applyFont="1" applyFill="1" applyBorder="1" applyAlignment="1">
      <alignment horizontal="center" vertical="center" wrapText="1"/>
    </xf>
    <xf numFmtId="1" fontId="30" fillId="0" borderId="78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176" fontId="30" fillId="24" borderId="81" xfId="0" applyNumberFormat="1" applyFont="1" applyFill="1" applyBorder="1" applyAlignment="1">
      <alignment horizontal="center" vertical="center" wrapText="1"/>
    </xf>
    <xf numFmtId="176" fontId="30" fillId="24" borderId="24" xfId="0" applyNumberFormat="1" applyFont="1" applyFill="1" applyBorder="1" applyAlignment="1">
      <alignment horizontal="center" vertical="center" wrapText="1"/>
    </xf>
    <xf numFmtId="190" fontId="30" fillId="0" borderId="74" xfId="0" applyNumberFormat="1" applyFont="1" applyFill="1" applyBorder="1" applyAlignment="1">
      <alignment horizontal="center" vertical="center" wrapText="1"/>
    </xf>
    <xf numFmtId="190" fontId="23" fillId="28" borderId="13" xfId="0" applyNumberFormat="1" applyFont="1" applyFill="1" applyBorder="1" applyAlignment="1" applyProtection="1">
      <alignment horizontal="center" vertical="center" wrapText="1"/>
      <protection locked="0"/>
    </xf>
    <xf numFmtId="190" fontId="30" fillId="0" borderId="13" xfId="839" applyNumberFormat="1" applyFont="1" applyFill="1" applyBorder="1" applyAlignment="1">
      <alignment horizontal="center" vertical="center" wrapText="1"/>
    </xf>
    <xf numFmtId="190" fontId="30" fillId="0" borderId="13" xfId="0" applyNumberFormat="1" applyFont="1" applyFill="1" applyBorder="1" applyAlignment="1">
      <alignment horizontal="center" vertical="center" wrapText="1"/>
    </xf>
    <xf numFmtId="4" fontId="24" fillId="4" borderId="72" xfId="0" applyNumberFormat="1" applyFont="1" applyFill="1" applyBorder="1" applyAlignment="1">
      <alignment horizontal="center" vertical="center"/>
    </xf>
    <xf numFmtId="2" fontId="24" fillId="4" borderId="72" xfId="0" applyNumberFormat="1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23" borderId="69" xfId="0" applyFont="1" applyFill="1" applyBorder="1" applyAlignment="1">
      <alignment horizontal="center" vertical="center" wrapText="1"/>
    </xf>
    <xf numFmtId="0" fontId="26" fillId="23" borderId="70" xfId="0" applyFont="1" applyFill="1" applyBorder="1" applyAlignment="1">
      <alignment horizontal="center" vertical="center" wrapText="1"/>
    </xf>
    <xf numFmtId="181" fontId="30" fillId="24" borderId="0" xfId="0" applyNumberFormat="1" applyFont="1" applyFill="1" applyBorder="1" applyAlignment="1">
      <alignment horizontal="center" vertical="center" wrapText="1"/>
    </xf>
    <xf numFmtId="181" fontId="30" fillId="24" borderId="80" xfId="0" applyNumberFormat="1" applyFont="1" applyFill="1" applyBorder="1" applyAlignment="1">
      <alignment horizontal="center" vertical="center" wrapText="1"/>
    </xf>
    <xf numFmtId="0" fontId="30" fillId="0" borderId="81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1" fontId="38" fillId="0" borderId="13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23" borderId="0" xfId="0" applyFont="1" applyFill="1" applyAlignment="1">
      <alignment/>
    </xf>
    <xf numFmtId="176" fontId="44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wrapText="1"/>
    </xf>
    <xf numFmtId="0" fontId="44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top" wrapText="1"/>
    </xf>
    <xf numFmtId="0" fontId="39" fillId="24" borderId="13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/>
    </xf>
    <xf numFmtId="176" fontId="37" fillId="24" borderId="13" xfId="0" applyNumberFormat="1" applyFont="1" applyFill="1" applyBorder="1" applyAlignment="1">
      <alignment horizontal="center"/>
    </xf>
    <xf numFmtId="1" fontId="37" fillId="24" borderId="13" xfId="0" applyNumberFormat="1" applyFont="1" applyFill="1" applyBorder="1" applyAlignment="1">
      <alignment horizontal="center" vertical="top" wrapText="1"/>
    </xf>
    <xf numFmtId="182" fontId="23" fillId="0" borderId="12" xfId="514" applyNumberFormat="1" applyFont="1" applyFill="1" applyBorder="1" applyAlignment="1" applyProtection="1">
      <alignment horizontal="right" vertical="center"/>
      <protection hidden="1"/>
    </xf>
    <xf numFmtId="182" fontId="23" fillId="0" borderId="13" xfId="525" applyNumberFormat="1" applyFont="1" applyFill="1" applyBorder="1" applyAlignment="1" applyProtection="1">
      <alignment horizontal="right" vertical="center"/>
      <protection hidden="1"/>
    </xf>
    <xf numFmtId="182" fontId="23" fillId="0" borderId="13" xfId="531" applyNumberFormat="1" applyFont="1" applyFill="1" applyBorder="1" applyAlignment="1" applyProtection="1">
      <alignment horizontal="right" vertical="center"/>
      <protection hidden="1"/>
    </xf>
    <xf numFmtId="182" fontId="23" fillId="0" borderId="13" xfId="447" applyNumberFormat="1" applyFont="1" applyFill="1" applyBorder="1" applyAlignment="1" applyProtection="1">
      <alignment horizontal="right" vertical="center"/>
      <protection hidden="1"/>
    </xf>
    <xf numFmtId="182" fontId="23" fillId="0" borderId="13" xfId="448" applyNumberFormat="1" applyFont="1" applyFill="1" applyBorder="1" applyAlignment="1" applyProtection="1">
      <alignment horizontal="right" vertical="center"/>
      <protection hidden="1"/>
    </xf>
    <xf numFmtId="182" fontId="23" fillId="0" borderId="13" xfId="449" applyNumberFormat="1" applyFont="1" applyFill="1" applyBorder="1" applyAlignment="1" applyProtection="1">
      <alignment horizontal="right" vertical="center"/>
      <protection hidden="1"/>
    </xf>
    <xf numFmtId="182" fontId="23" fillId="0" borderId="13" xfId="450" applyNumberFormat="1" applyFont="1" applyFill="1" applyBorder="1" applyAlignment="1" applyProtection="1">
      <alignment horizontal="right" vertical="center"/>
      <protection hidden="1"/>
    </xf>
    <xf numFmtId="182" fontId="23" fillId="0" borderId="13" xfId="451" applyNumberFormat="1" applyFont="1" applyFill="1" applyBorder="1" applyAlignment="1" applyProtection="1">
      <alignment horizontal="right" vertical="center"/>
      <protection hidden="1"/>
    </xf>
    <xf numFmtId="182" fontId="23" fillId="0" borderId="13" xfId="452" applyNumberFormat="1" applyFont="1" applyFill="1" applyBorder="1" applyAlignment="1" applyProtection="1">
      <alignment horizontal="right" vertical="center"/>
      <protection hidden="1"/>
    </xf>
    <xf numFmtId="182" fontId="23" fillId="0" borderId="13" xfId="458" applyNumberFormat="1" applyFont="1" applyFill="1" applyBorder="1" applyAlignment="1" applyProtection="1">
      <alignment horizontal="right" vertical="center"/>
      <protection hidden="1"/>
    </xf>
    <xf numFmtId="182" fontId="23" fillId="0" borderId="13" xfId="459" applyNumberFormat="1" applyFont="1" applyFill="1" applyBorder="1" applyAlignment="1" applyProtection="1">
      <alignment horizontal="right" vertical="center"/>
      <protection hidden="1"/>
    </xf>
    <xf numFmtId="182" fontId="23" fillId="0" borderId="13" xfId="460" applyNumberFormat="1" applyFont="1" applyFill="1" applyBorder="1" applyAlignment="1" applyProtection="1">
      <alignment horizontal="right" vertical="center"/>
      <protection hidden="1"/>
    </xf>
    <xf numFmtId="182" fontId="23" fillId="0" borderId="13" xfId="461" applyNumberFormat="1" applyFont="1" applyFill="1" applyBorder="1" applyAlignment="1" applyProtection="1">
      <alignment horizontal="right" vertical="center"/>
      <protection hidden="1"/>
    </xf>
    <xf numFmtId="182" fontId="23" fillId="0" borderId="13" xfId="462" applyNumberFormat="1" applyFont="1" applyFill="1" applyBorder="1" applyAlignment="1" applyProtection="1">
      <alignment horizontal="right" vertical="center"/>
      <protection hidden="1"/>
    </xf>
    <xf numFmtId="182" fontId="23" fillId="0" borderId="13" xfId="463" applyNumberFormat="1" applyFont="1" applyFill="1" applyBorder="1" applyAlignment="1" applyProtection="1">
      <alignment horizontal="right" vertical="center"/>
      <protection hidden="1"/>
    </xf>
    <xf numFmtId="182" fontId="23" fillId="0" borderId="13" xfId="464" applyNumberFormat="1" applyFont="1" applyFill="1" applyBorder="1" applyAlignment="1" applyProtection="1">
      <alignment horizontal="right" vertical="center"/>
      <protection hidden="1"/>
    </xf>
    <xf numFmtId="182" fontId="23" fillId="0" borderId="13" xfId="465" applyNumberFormat="1" applyFont="1" applyFill="1" applyBorder="1" applyAlignment="1" applyProtection="1">
      <alignment horizontal="right" vertical="center"/>
      <protection hidden="1"/>
    </xf>
    <xf numFmtId="182" fontId="23" fillId="0" borderId="13" xfId="466" applyNumberFormat="1" applyFont="1" applyFill="1" applyBorder="1" applyAlignment="1" applyProtection="1">
      <alignment horizontal="right" vertical="center"/>
      <protection hidden="1"/>
    </xf>
    <xf numFmtId="182" fontId="30" fillId="0" borderId="82" xfId="482" applyNumberFormat="1" applyFont="1" applyFill="1" applyBorder="1" applyAlignment="1" applyProtection="1">
      <alignment horizontal="right" vertical="center"/>
      <protection hidden="1"/>
    </xf>
    <xf numFmtId="182" fontId="30" fillId="0" borderId="22" xfId="482" applyNumberFormat="1" applyFont="1" applyFill="1" applyBorder="1" applyAlignment="1" applyProtection="1">
      <alignment horizontal="right" vertical="center"/>
      <protection hidden="1"/>
    </xf>
    <xf numFmtId="190" fontId="30" fillId="0" borderId="22" xfId="0" applyNumberFormat="1" applyFont="1" applyFill="1" applyBorder="1" applyAlignment="1">
      <alignment horizontal="center" vertical="center"/>
    </xf>
    <xf numFmtId="190" fontId="30" fillId="0" borderId="13" xfId="0" applyNumberFormat="1" applyFont="1" applyFill="1" applyBorder="1" applyAlignment="1">
      <alignment horizontal="center"/>
    </xf>
    <xf numFmtId="190" fontId="30" fillId="0" borderId="13" xfId="0" applyNumberFormat="1" applyFont="1" applyFill="1" applyBorder="1" applyAlignment="1">
      <alignment horizontal="center" vertical="center"/>
    </xf>
    <xf numFmtId="2" fontId="30" fillId="24" borderId="13" xfId="0" applyNumberFormat="1" applyFont="1" applyFill="1" applyBorder="1" applyAlignment="1">
      <alignment horizontal="center" vertical="center"/>
    </xf>
    <xf numFmtId="190" fontId="30" fillId="0" borderId="26" xfId="0" applyNumberFormat="1" applyFont="1" applyFill="1" applyBorder="1" applyAlignment="1">
      <alignment horizontal="center" vertical="center"/>
    </xf>
    <xf numFmtId="205" fontId="30" fillId="0" borderId="13" xfId="0" applyNumberFormat="1" applyFont="1" applyBorder="1" applyAlignment="1">
      <alignment/>
    </xf>
    <xf numFmtId="4" fontId="30" fillId="24" borderId="18" xfId="0" applyNumberFormat="1" applyFont="1" applyFill="1" applyBorder="1" applyAlignment="1">
      <alignment horizontal="center" vertical="center"/>
    </xf>
    <xf numFmtId="4" fontId="30" fillId="28" borderId="13" xfId="0" applyNumberFormat="1" applyFont="1" applyFill="1" applyBorder="1" applyAlignment="1" applyProtection="1">
      <alignment horizontal="right" vertical="center"/>
      <protection locked="0"/>
    </xf>
    <xf numFmtId="2" fontId="30" fillId="24" borderId="13" xfId="0" applyNumberFormat="1" applyFont="1" applyFill="1" applyBorder="1" applyAlignment="1">
      <alignment horizontal="center" vertical="center" wrapText="1"/>
    </xf>
    <xf numFmtId="201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24" borderId="78" xfId="0" applyNumberFormat="1" applyFont="1" applyFill="1" applyBorder="1" applyAlignment="1">
      <alignment horizontal="center" vertical="center"/>
    </xf>
    <xf numFmtId="0" fontId="30" fillId="24" borderId="22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vertical="center"/>
    </xf>
    <xf numFmtId="181" fontId="30" fillId="0" borderId="13" xfId="0" applyNumberFormat="1" applyFont="1" applyFill="1" applyBorder="1" applyAlignment="1">
      <alignment wrapText="1"/>
    </xf>
    <xf numFmtId="181" fontId="30" fillId="0" borderId="74" xfId="0" applyNumberFormat="1" applyFont="1" applyFill="1" applyBorder="1" applyAlignment="1">
      <alignment wrapText="1"/>
    </xf>
    <xf numFmtId="190" fontId="30" fillId="29" borderId="13" xfId="0" applyNumberFormat="1" applyFont="1" applyFill="1" applyBorder="1" applyAlignment="1" applyProtection="1">
      <alignment horizontal="center" vertical="center" wrapText="1"/>
      <protection locked="0"/>
    </xf>
    <xf numFmtId="181" fontId="30" fillId="29" borderId="18" xfId="0" applyNumberFormat="1" applyFont="1" applyFill="1" applyBorder="1" applyAlignment="1">
      <alignment wrapText="1"/>
    </xf>
    <xf numFmtId="181" fontId="30" fillId="29" borderId="13" xfId="0" applyNumberFormat="1" applyFont="1" applyFill="1" applyBorder="1" applyAlignment="1">
      <alignment wrapText="1"/>
    </xf>
    <xf numFmtId="181" fontId="30" fillId="29" borderId="13" xfId="0" applyNumberFormat="1" applyFont="1" applyFill="1" applyBorder="1" applyAlignment="1">
      <alignment vertical="center" wrapText="1"/>
    </xf>
    <xf numFmtId="1" fontId="30" fillId="30" borderId="0" xfId="0" applyNumberFormat="1" applyFont="1" applyFill="1" applyBorder="1" applyAlignment="1">
      <alignment horizontal="center" vertical="center" wrapText="1"/>
    </xf>
    <xf numFmtId="176" fontId="30" fillId="30" borderId="18" xfId="0" applyNumberFormat="1" applyFont="1" applyFill="1" applyBorder="1" applyAlignment="1">
      <alignment horizontal="center" vertical="center" wrapText="1"/>
    </xf>
    <xf numFmtId="1" fontId="30" fillId="30" borderId="80" xfId="0" applyNumberFormat="1" applyFont="1" applyFill="1" applyBorder="1" applyAlignment="1">
      <alignment horizontal="center" vertical="center" wrapText="1"/>
    </xf>
    <xf numFmtId="2" fontId="30" fillId="0" borderId="83" xfId="0" applyNumberFormat="1" applyFont="1" applyFill="1" applyBorder="1" applyAlignment="1">
      <alignment/>
    </xf>
    <xf numFmtId="2" fontId="30" fillId="0" borderId="78" xfId="0" applyNumberFormat="1" applyFont="1" applyFill="1" applyBorder="1" applyAlignment="1">
      <alignment horizontal="center" vertical="center" wrapText="1"/>
    </xf>
    <xf numFmtId="191" fontId="30" fillId="0" borderId="84" xfId="0" applyNumberFormat="1" applyFont="1" applyFill="1" applyBorder="1" applyAlignment="1">
      <alignment horizontal="center" vertical="center" wrapText="1"/>
    </xf>
    <xf numFmtId="2" fontId="30" fillId="0" borderId="85" xfId="0" applyNumberFormat="1" applyFont="1" applyFill="1" applyBorder="1" applyAlignment="1">
      <alignment/>
    </xf>
    <xf numFmtId="2" fontId="30" fillId="0" borderId="22" xfId="839" applyNumberFormat="1" applyFont="1" applyFill="1" applyBorder="1" applyAlignment="1">
      <alignment horizontal="center" vertical="center" wrapText="1"/>
    </xf>
    <xf numFmtId="2" fontId="30" fillId="0" borderId="86" xfId="0" applyNumberFormat="1" applyFont="1" applyFill="1" applyBorder="1" applyAlignment="1">
      <alignment/>
    </xf>
    <xf numFmtId="2" fontId="30" fillId="0" borderId="22" xfId="0" applyNumberFormat="1" applyFont="1" applyFill="1" applyBorder="1" applyAlignment="1">
      <alignment horizontal="center" vertical="center" wrapText="1"/>
    </xf>
    <xf numFmtId="2" fontId="30" fillId="0" borderId="87" xfId="0" applyNumberFormat="1" applyFont="1" applyFill="1" applyBorder="1" applyAlignment="1">
      <alignment/>
    </xf>
    <xf numFmtId="182" fontId="30" fillId="0" borderId="22" xfId="481" applyNumberFormat="1" applyFont="1" applyFill="1" applyBorder="1">
      <alignment/>
      <protection/>
    </xf>
    <xf numFmtId="0" fontId="30" fillId="0" borderId="81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2" fontId="30" fillId="0" borderId="74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3" fontId="30" fillId="0" borderId="78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 wrapText="1"/>
    </xf>
    <xf numFmtId="176" fontId="30" fillId="0" borderId="81" xfId="0" applyNumberFormat="1" applyFont="1" applyFill="1" applyBorder="1" applyAlignment="1">
      <alignment horizontal="center" vertical="center" wrapText="1"/>
    </xf>
    <xf numFmtId="182" fontId="23" fillId="0" borderId="13" xfId="533" applyNumberFormat="1" applyFont="1" applyFill="1" applyBorder="1" applyAlignment="1" applyProtection="1">
      <alignment horizontal="right" vertical="center"/>
      <protection hidden="1"/>
    </xf>
    <xf numFmtId="182" fontId="23" fillId="0" borderId="13" xfId="546" applyNumberFormat="1" applyFont="1" applyFill="1" applyBorder="1" applyAlignment="1" applyProtection="1">
      <alignment horizontal="right" vertical="center"/>
      <protection hidden="1"/>
    </xf>
    <xf numFmtId="182" fontId="23" fillId="0" borderId="13" xfId="396" applyNumberFormat="1" applyFont="1" applyFill="1" applyBorder="1" applyAlignment="1" applyProtection="1">
      <alignment horizontal="right" vertical="center"/>
      <protection hidden="1"/>
    </xf>
    <xf numFmtId="182" fontId="23" fillId="0" borderId="13" xfId="409" applyNumberFormat="1" applyFont="1" applyFill="1" applyBorder="1" applyAlignment="1" applyProtection="1">
      <alignment horizontal="right" vertical="center"/>
      <protection hidden="1"/>
    </xf>
    <xf numFmtId="182" fontId="23" fillId="0" borderId="13" xfId="422" applyNumberFormat="1" applyFont="1" applyFill="1" applyBorder="1" applyAlignment="1" applyProtection="1">
      <alignment horizontal="right" vertical="center"/>
      <protection hidden="1"/>
    </xf>
    <xf numFmtId="182" fontId="23" fillId="0" borderId="13" xfId="435" applyNumberFormat="1" applyFont="1" applyFill="1" applyBorder="1" applyAlignment="1" applyProtection="1">
      <alignment horizontal="right" vertical="center"/>
      <protection hidden="1"/>
    </xf>
    <xf numFmtId="182" fontId="30" fillId="0" borderId="13" xfId="482" applyNumberFormat="1" applyFont="1" applyFill="1" applyBorder="1" applyAlignment="1" applyProtection="1">
      <alignment horizontal="right" vertical="center"/>
      <protection hidden="1"/>
    </xf>
    <xf numFmtId="10" fontId="30" fillId="0" borderId="81" xfId="0" applyNumberFormat="1" applyFont="1" applyFill="1" applyBorder="1" applyAlignment="1">
      <alignment horizontal="center" vertical="center" wrapText="1"/>
    </xf>
    <xf numFmtId="2" fontId="30" fillId="0" borderId="74" xfId="0" applyNumberFormat="1" applyFont="1" applyFill="1" applyBorder="1" applyAlignment="1">
      <alignment vertical="center" wrapText="1"/>
    </xf>
    <xf numFmtId="10" fontId="30" fillId="0" borderId="24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vertical="center" wrapText="1"/>
    </xf>
    <xf numFmtId="176" fontId="30" fillId="29" borderId="88" xfId="0" applyNumberFormat="1" applyFont="1" applyFill="1" applyBorder="1" applyAlignment="1">
      <alignment/>
    </xf>
    <xf numFmtId="176" fontId="30" fillId="29" borderId="89" xfId="0" applyNumberFormat="1" applyFont="1" applyFill="1" applyBorder="1" applyAlignment="1">
      <alignment/>
    </xf>
    <xf numFmtId="176" fontId="30" fillId="29" borderId="90" xfId="0" applyNumberFormat="1" applyFont="1" applyFill="1" applyBorder="1" applyAlignment="1">
      <alignment/>
    </xf>
    <xf numFmtId="176" fontId="30" fillId="29" borderId="91" xfId="0" applyNumberFormat="1" applyFont="1" applyFill="1" applyBorder="1" applyAlignment="1">
      <alignment/>
    </xf>
    <xf numFmtId="0" fontId="0" fillId="0" borderId="13" xfId="0" applyBorder="1" applyAlignment="1">
      <alignment/>
    </xf>
    <xf numFmtId="181" fontId="30" fillId="29" borderId="13" xfId="0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14" fillId="0" borderId="78" xfId="567" applyNumberFormat="1" applyFont="1" applyFill="1" applyBorder="1" applyAlignment="1">
      <alignment horizontal="center" vertical="center" wrapText="1"/>
      <protection/>
    </xf>
    <xf numFmtId="0" fontId="30" fillId="0" borderId="74" xfId="0" applyNumberFormat="1" applyFont="1" applyFill="1" applyBorder="1" applyAlignment="1">
      <alignment horizontal="center" vertical="center" wrapText="1"/>
    </xf>
    <xf numFmtId="4" fontId="14" fillId="0" borderId="22" xfId="567" applyNumberFormat="1" applyFont="1" applyFill="1" applyBorder="1" applyAlignment="1">
      <alignment horizontal="center" vertical="center" wrapText="1"/>
      <protection/>
    </xf>
    <xf numFmtId="176" fontId="24" fillId="0" borderId="41" xfId="0" applyNumberFormat="1" applyFont="1" applyFill="1" applyBorder="1" applyAlignment="1">
      <alignment/>
    </xf>
    <xf numFmtId="176" fontId="24" fillId="0" borderId="49" xfId="0" applyNumberFormat="1" applyFont="1" applyFill="1" applyBorder="1" applyAlignment="1">
      <alignment/>
    </xf>
    <xf numFmtId="0" fontId="30" fillId="29" borderId="92" xfId="0" applyFont="1" applyFill="1" applyBorder="1" applyAlignment="1">
      <alignment/>
    </xf>
    <xf numFmtId="176" fontId="30" fillId="29" borderId="93" xfId="0" applyNumberFormat="1" applyFont="1" applyFill="1" applyBorder="1" applyAlignment="1">
      <alignment/>
    </xf>
    <xf numFmtId="0" fontId="30" fillId="29" borderId="58" xfId="0" applyFont="1" applyFill="1" applyBorder="1" applyAlignment="1">
      <alignment/>
    </xf>
    <xf numFmtId="176" fontId="30" fillId="29" borderId="57" xfId="0" applyNumberFormat="1" applyFont="1" applyFill="1" applyBorder="1" applyAlignment="1">
      <alignment/>
    </xf>
    <xf numFmtId="0" fontId="30" fillId="29" borderId="94" xfId="0" applyFont="1" applyFill="1" applyBorder="1" applyAlignment="1">
      <alignment/>
    </xf>
    <xf numFmtId="1" fontId="24" fillId="0" borderId="41" xfId="421" applyNumberFormat="1" applyFont="1" applyFill="1" applyBorder="1" applyAlignment="1">
      <alignment/>
      <protection/>
    </xf>
    <xf numFmtId="176" fontId="24" fillId="0" borderId="49" xfId="421" applyNumberFormat="1" applyFont="1" applyFill="1" applyBorder="1" applyAlignment="1">
      <alignment/>
      <protection/>
    </xf>
    <xf numFmtId="176" fontId="30" fillId="29" borderId="92" xfId="0" applyNumberFormat="1" applyFont="1" applyFill="1" applyBorder="1" applyAlignment="1">
      <alignment/>
    </xf>
    <xf numFmtId="176" fontId="30" fillId="29" borderId="58" xfId="0" applyNumberFormat="1" applyFont="1" applyFill="1" applyBorder="1" applyAlignment="1">
      <alignment/>
    </xf>
    <xf numFmtId="176" fontId="30" fillId="29" borderId="94" xfId="0" applyNumberFormat="1" applyFont="1" applyFill="1" applyBorder="1" applyAlignment="1">
      <alignment/>
    </xf>
    <xf numFmtId="1" fontId="30" fillId="0" borderId="78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/>
    </xf>
    <xf numFmtId="1" fontId="30" fillId="0" borderId="74" xfId="559" applyNumberFormat="1" applyFont="1" applyFill="1" applyBorder="1">
      <alignment/>
      <protection/>
    </xf>
    <xf numFmtId="176" fontId="30" fillId="24" borderId="74" xfId="559" applyNumberFormat="1" applyFont="1" applyFill="1" applyBorder="1">
      <alignment/>
      <protection/>
    </xf>
    <xf numFmtId="1" fontId="30" fillId="0" borderId="13" xfId="559" applyNumberFormat="1" applyFont="1" applyFill="1" applyBorder="1">
      <alignment/>
      <protection/>
    </xf>
    <xf numFmtId="176" fontId="30" fillId="24" borderId="13" xfId="559" applyNumberFormat="1" applyFont="1" applyFill="1" applyBorder="1">
      <alignment/>
      <protection/>
    </xf>
    <xf numFmtId="176" fontId="24" fillId="0" borderId="72" xfId="0" applyNumberFormat="1" applyFont="1" applyFill="1" applyBorder="1" applyAlignment="1">
      <alignment horizontal="center" vertical="center" wrapText="1"/>
    </xf>
    <xf numFmtId="176" fontId="30" fillId="24" borderId="78" xfId="0" applyNumberFormat="1" applyFont="1" applyFill="1" applyBorder="1" applyAlignment="1">
      <alignment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176" fontId="30" fillId="24" borderId="0" xfId="0" applyNumberFormat="1" applyFont="1" applyFill="1" applyBorder="1" applyAlignment="1">
      <alignment horizontal="center" vertical="center" wrapText="1"/>
    </xf>
    <xf numFmtId="43" fontId="30" fillId="24" borderId="24" xfId="839" applyFont="1" applyFill="1" applyBorder="1" applyAlignment="1">
      <alignment horizontal="center" vertical="center" wrapText="1"/>
    </xf>
    <xf numFmtId="176" fontId="30" fillId="24" borderId="22" xfId="0" applyNumberFormat="1" applyFont="1" applyFill="1" applyBorder="1" applyAlignment="1">
      <alignment vertical="center" wrapText="1"/>
    </xf>
    <xf numFmtId="176" fontId="30" fillId="0" borderId="80" xfId="0" applyNumberFormat="1" applyFont="1" applyFill="1" applyBorder="1" applyAlignment="1">
      <alignment horizontal="center" vertical="center" wrapText="1"/>
    </xf>
    <xf numFmtId="0" fontId="30" fillId="28" borderId="74" xfId="0" applyFont="1" applyFill="1" applyBorder="1" applyAlignment="1">
      <alignment vertical="center" wrapText="1"/>
    </xf>
    <xf numFmtId="0" fontId="30" fillId="28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199" fontId="30" fillId="24" borderId="13" xfId="839" applyNumberFormat="1" applyFont="1" applyFill="1" applyBorder="1" applyAlignment="1">
      <alignment vertical="center" wrapText="1"/>
    </xf>
    <xf numFmtId="176" fontId="23" fillId="0" borderId="13" xfId="0" applyNumberFormat="1" applyFont="1" applyFill="1" applyBorder="1" applyAlignment="1">
      <alignment horizontal="center" vertical="center" wrapText="1"/>
    </xf>
    <xf numFmtId="176" fontId="23" fillId="24" borderId="13" xfId="0" applyNumberFormat="1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6" fillId="0" borderId="9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98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9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01" xfId="0" applyFont="1" applyFill="1" applyBorder="1" applyAlignment="1">
      <alignment horizontal="center" vertical="center" wrapText="1"/>
    </xf>
    <xf numFmtId="0" fontId="26" fillId="17" borderId="95" xfId="0" applyFont="1" applyFill="1" applyBorder="1" applyAlignment="1">
      <alignment horizontal="center" vertical="center" wrapText="1"/>
    </xf>
    <xf numFmtId="0" fontId="26" fillId="17" borderId="99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2" xfId="0" applyFont="1" applyFill="1" applyBorder="1" applyAlignment="1">
      <alignment horizontal="center" vertical="center" wrapText="1"/>
    </xf>
    <xf numFmtId="0" fontId="26" fillId="17" borderId="98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03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0" fontId="28" fillId="24" borderId="82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4" borderId="82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 wrapText="1"/>
    </xf>
    <xf numFmtId="0" fontId="26" fillId="24" borderId="98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99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8" fillId="0" borderId="101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104" xfId="0" applyFont="1" applyFill="1" applyBorder="1" applyAlignment="1">
      <alignment horizontal="center" vertical="center" wrapText="1"/>
    </xf>
    <xf numFmtId="0" fontId="26" fillId="0" borderId="105" xfId="0" applyFont="1" applyFill="1" applyBorder="1" applyAlignment="1">
      <alignment horizontal="center" vertical="center" wrapText="1"/>
    </xf>
    <xf numFmtId="0" fontId="26" fillId="0" borderId="106" xfId="0" applyFont="1" applyFill="1" applyBorder="1" applyAlignment="1">
      <alignment horizontal="center" vertical="center" wrapText="1"/>
    </xf>
    <xf numFmtId="0" fontId="26" fillId="0" borderId="107" xfId="0" applyFont="1" applyFill="1" applyBorder="1" applyAlignment="1">
      <alignment horizontal="center" vertical="center" wrapText="1"/>
    </xf>
    <xf numFmtId="0" fontId="26" fillId="0" borderId="108" xfId="0" applyFont="1" applyFill="1" applyBorder="1" applyAlignment="1">
      <alignment horizontal="center" vertical="center" wrapText="1"/>
    </xf>
    <xf numFmtId="0" fontId="26" fillId="0" borderId="109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82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96" xfId="0" applyFont="1" applyFill="1" applyBorder="1" applyAlignment="1">
      <alignment horizontal="center" vertical="center" wrapText="1"/>
    </xf>
    <xf numFmtId="0" fontId="37" fillId="24" borderId="92" xfId="0" applyFont="1" applyFill="1" applyBorder="1" applyAlignment="1">
      <alignment horizontal="center" vertical="center" wrapText="1"/>
    </xf>
    <xf numFmtId="0" fontId="37" fillId="24" borderId="111" xfId="0" applyFont="1" applyFill="1" applyBorder="1" applyAlignment="1">
      <alignment horizontal="center" vertical="center" wrapText="1"/>
    </xf>
    <xf numFmtId="0" fontId="37" fillId="24" borderId="93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112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113" xfId="0" applyFont="1" applyFill="1" applyBorder="1" applyAlignment="1">
      <alignment horizontal="center" vertical="center" wrapText="1"/>
    </xf>
    <xf numFmtId="0" fontId="37" fillId="24" borderId="114" xfId="0" applyFont="1" applyFill="1" applyBorder="1" applyAlignment="1">
      <alignment horizontal="center" vertical="center" wrapText="1"/>
    </xf>
    <xf numFmtId="0" fontId="37" fillId="24" borderId="115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111" xfId="0" applyFont="1" applyFill="1" applyBorder="1" applyAlignment="1">
      <alignment horizontal="center" vertical="center" wrapText="1"/>
    </xf>
    <xf numFmtId="0" fontId="37" fillId="0" borderId="112" xfId="0" applyFont="1" applyFill="1" applyBorder="1" applyAlignment="1">
      <alignment horizontal="center" vertical="center" wrapText="1"/>
    </xf>
    <xf numFmtId="0" fontId="37" fillId="0" borderId="113" xfId="0" applyFont="1" applyFill="1" applyBorder="1" applyAlignment="1">
      <alignment horizontal="center" vertical="center" wrapText="1"/>
    </xf>
    <xf numFmtId="0" fontId="37" fillId="0" borderId="114" xfId="0" applyFont="1" applyFill="1" applyBorder="1" applyAlignment="1">
      <alignment horizontal="center" vertical="center" wrapText="1"/>
    </xf>
    <xf numFmtId="0" fontId="37" fillId="0" borderId="115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116" xfId="0" applyFont="1" applyFill="1" applyBorder="1" applyAlignment="1">
      <alignment horizontal="center" vertical="center" wrapText="1"/>
    </xf>
    <xf numFmtId="0" fontId="26" fillId="0" borderId="117" xfId="0" applyFont="1" applyFill="1" applyBorder="1" applyAlignment="1">
      <alignment horizontal="center" vertical="center" wrapText="1"/>
    </xf>
    <xf numFmtId="0" fontId="26" fillId="24" borderId="70" xfId="0" applyFont="1" applyFill="1" applyBorder="1" applyAlignment="1">
      <alignment horizontal="center" vertical="center" wrapText="1"/>
    </xf>
    <xf numFmtId="0" fontId="26" fillId="24" borderId="71" xfId="0" applyFont="1" applyFill="1" applyBorder="1" applyAlignment="1">
      <alignment horizontal="center" vertical="center" wrapText="1"/>
    </xf>
    <xf numFmtId="0" fontId="45" fillId="31" borderId="70" xfId="0" applyFont="1" applyFill="1" applyBorder="1" applyAlignment="1">
      <alignment horizontal="center" vertical="center" wrapText="1"/>
    </xf>
    <xf numFmtId="0" fontId="26" fillId="24" borderId="75" xfId="0" applyFont="1" applyFill="1" applyBorder="1" applyAlignment="1">
      <alignment horizontal="center" vertical="center" wrapText="1"/>
    </xf>
    <xf numFmtId="0" fontId="45" fillId="17" borderId="70" xfId="0" applyFont="1" applyFill="1" applyBorder="1" applyAlignment="1">
      <alignment horizontal="center" vertical="center" wrapText="1"/>
    </xf>
    <xf numFmtId="0" fontId="26" fillId="30" borderId="70" xfId="0" applyFont="1" applyFill="1" applyBorder="1" applyAlignment="1">
      <alignment horizontal="center" vertical="center" wrapText="1"/>
    </xf>
    <xf numFmtId="0" fontId="26" fillId="24" borderId="74" xfId="0" applyFont="1" applyFill="1" applyBorder="1" applyAlignment="1">
      <alignment horizontal="center" vertical="center" wrapText="1"/>
    </xf>
    <xf numFmtId="0" fontId="26" fillId="24" borderId="79" xfId="0" applyFont="1" applyFill="1" applyBorder="1" applyAlignment="1">
      <alignment horizontal="center" vertical="center" wrapText="1"/>
    </xf>
    <xf numFmtId="0" fontId="26" fillId="17" borderId="69" xfId="0" applyFont="1" applyFill="1" applyBorder="1" applyAlignment="1">
      <alignment horizontal="center" vertical="center" wrapText="1"/>
    </xf>
    <xf numFmtId="0" fontId="26" fillId="17" borderId="70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118" xfId="0" applyFont="1" applyFill="1" applyBorder="1" applyAlignment="1">
      <alignment horizontal="center" vertical="center" wrapText="1"/>
    </xf>
    <xf numFmtId="0" fontId="26" fillId="23" borderId="69" xfId="0" applyFont="1" applyFill="1" applyBorder="1" applyAlignment="1">
      <alignment horizontal="center" vertical="center" wrapText="1"/>
    </xf>
    <xf numFmtId="0" fontId="45" fillId="17" borderId="69" xfId="0" applyFont="1" applyFill="1" applyBorder="1" applyAlignment="1">
      <alignment horizontal="center" vertical="center" wrapText="1"/>
    </xf>
    <xf numFmtId="0" fontId="26" fillId="10" borderId="69" xfId="0" applyFont="1" applyFill="1" applyBorder="1" applyAlignment="1">
      <alignment horizontal="center" vertical="center" wrapText="1"/>
    </xf>
    <xf numFmtId="0" fontId="26" fillId="10" borderId="70" xfId="0" applyFont="1" applyFill="1" applyBorder="1" applyAlignment="1">
      <alignment horizontal="center" vertical="center" wrapText="1"/>
    </xf>
    <xf numFmtId="0" fontId="24" fillId="0" borderId="119" xfId="0" applyFont="1" applyFill="1" applyBorder="1" applyAlignment="1">
      <alignment horizontal="center" vertical="center" wrapText="1"/>
    </xf>
    <xf numFmtId="0" fontId="24" fillId="0" borderId="120" xfId="0" applyFont="1" applyFill="1" applyBorder="1" applyAlignment="1">
      <alignment horizontal="center" vertical="center" wrapText="1"/>
    </xf>
    <xf numFmtId="0" fontId="24" fillId="0" borderId="121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17" borderId="69" xfId="0" applyFont="1" applyFill="1" applyBorder="1" applyAlignment="1">
      <alignment horizontal="center" vertical="center" wrapText="1"/>
    </xf>
    <xf numFmtId="0" fontId="24" fillId="17" borderId="7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8" fillId="0" borderId="81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</cellXfs>
  <cellStyles count="8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10" xfId="44"/>
    <cellStyle name="Данные (редактируемые) 11" xfId="45"/>
    <cellStyle name="Данные (редактируемые) 12" xfId="46"/>
    <cellStyle name="Данные (редактируемые) 13" xfId="47"/>
    <cellStyle name="Данные (редактируемые) 14" xfId="48"/>
    <cellStyle name="Данные (редактируемые) 15" xfId="49"/>
    <cellStyle name="Данные (редактируемые) 16" xfId="50"/>
    <cellStyle name="Данные (редактируемые) 17" xfId="51"/>
    <cellStyle name="Данные (редактируемые) 18" xfId="52"/>
    <cellStyle name="Данные (редактируемые) 19" xfId="53"/>
    <cellStyle name="Данные (редактируемые) 2" xfId="54"/>
    <cellStyle name="Данные (редактируемые) 20" xfId="55"/>
    <cellStyle name="Данные (редактируемые) 21" xfId="56"/>
    <cellStyle name="Данные (редактируемые) 22" xfId="57"/>
    <cellStyle name="Данные (редактируемые) 23" xfId="58"/>
    <cellStyle name="Данные (редактируемые) 24" xfId="59"/>
    <cellStyle name="Данные (редактируемые) 25" xfId="60"/>
    <cellStyle name="Данные (редактируемые) 26" xfId="61"/>
    <cellStyle name="Данные (редактируемые) 27" xfId="62"/>
    <cellStyle name="Данные (редактируемые) 28" xfId="63"/>
    <cellStyle name="Данные (редактируемые) 29" xfId="64"/>
    <cellStyle name="Данные (редактируемые) 3" xfId="65"/>
    <cellStyle name="Данные (редактируемые) 30" xfId="66"/>
    <cellStyle name="Данные (редактируемые) 31" xfId="67"/>
    <cellStyle name="Данные (редактируемые) 32" xfId="68"/>
    <cellStyle name="Данные (редактируемые) 33" xfId="69"/>
    <cellStyle name="Данные (редактируемые) 4" xfId="70"/>
    <cellStyle name="Данные (редактируемые) 5" xfId="71"/>
    <cellStyle name="Данные (редактируемые) 6" xfId="72"/>
    <cellStyle name="Данные (редактируемые) 7" xfId="73"/>
    <cellStyle name="Данные (редактируемые) 8" xfId="74"/>
    <cellStyle name="Данные (редактируемые) 9" xfId="75"/>
    <cellStyle name="Данные (только для чтения)" xfId="76"/>
    <cellStyle name="Данные (только для чтения) 10" xfId="77"/>
    <cellStyle name="Данные (только для чтения) 11" xfId="78"/>
    <cellStyle name="Данные (только для чтения) 12" xfId="79"/>
    <cellStyle name="Данные (только для чтения) 13" xfId="80"/>
    <cellStyle name="Данные (только для чтения) 14" xfId="81"/>
    <cellStyle name="Данные (только для чтения) 15" xfId="82"/>
    <cellStyle name="Данные (только для чтения) 16" xfId="83"/>
    <cellStyle name="Данные (только для чтения) 17" xfId="84"/>
    <cellStyle name="Данные (только для чтения) 18" xfId="85"/>
    <cellStyle name="Данные (только для чтения) 19" xfId="86"/>
    <cellStyle name="Данные (только для чтения) 2" xfId="87"/>
    <cellStyle name="Данные (только для чтения) 20" xfId="88"/>
    <cellStyle name="Данные (только для чтения) 21" xfId="89"/>
    <cellStyle name="Данные (только для чтения) 22" xfId="90"/>
    <cellStyle name="Данные (только для чтения) 23" xfId="91"/>
    <cellStyle name="Данные (только для чтения) 24" xfId="92"/>
    <cellStyle name="Данные (только для чтения) 25" xfId="93"/>
    <cellStyle name="Данные (только для чтения) 26" xfId="94"/>
    <cellStyle name="Данные (только для чтения) 27" xfId="95"/>
    <cellStyle name="Данные (только для чтения) 28" xfId="96"/>
    <cellStyle name="Данные (только для чтения) 29" xfId="97"/>
    <cellStyle name="Данные (только для чтения) 3" xfId="98"/>
    <cellStyle name="Данные (только для чтения) 30" xfId="99"/>
    <cellStyle name="Данные (только для чтения) 31" xfId="100"/>
    <cellStyle name="Данные (только для чтения) 32" xfId="101"/>
    <cellStyle name="Данные (только для чтения) 33" xfId="102"/>
    <cellStyle name="Данные (только для чтения) 4" xfId="103"/>
    <cellStyle name="Данные (только для чтения) 5" xfId="104"/>
    <cellStyle name="Данные (только для чтения) 6" xfId="105"/>
    <cellStyle name="Данные (только для чтения) 7" xfId="106"/>
    <cellStyle name="Данные (только для чтения) 8" xfId="107"/>
    <cellStyle name="Данные (только для чтения) 9" xfId="108"/>
    <cellStyle name="Данные для удаления" xfId="109"/>
    <cellStyle name="Данные для удаления 10" xfId="110"/>
    <cellStyle name="Данные для удаления 11" xfId="111"/>
    <cellStyle name="Данные для удаления 12" xfId="112"/>
    <cellStyle name="Данные для удаления 13" xfId="113"/>
    <cellStyle name="Данные для удаления 14" xfId="114"/>
    <cellStyle name="Данные для удаления 15" xfId="115"/>
    <cellStyle name="Данные для удаления 16" xfId="116"/>
    <cellStyle name="Данные для удаления 17" xfId="117"/>
    <cellStyle name="Данные для удаления 18" xfId="118"/>
    <cellStyle name="Данные для удаления 19" xfId="119"/>
    <cellStyle name="Данные для удаления 2" xfId="120"/>
    <cellStyle name="Данные для удаления 20" xfId="121"/>
    <cellStyle name="Данные для удаления 21" xfId="122"/>
    <cellStyle name="Данные для удаления 22" xfId="123"/>
    <cellStyle name="Данные для удаления 23" xfId="124"/>
    <cellStyle name="Данные для удаления 24" xfId="125"/>
    <cellStyle name="Данные для удаления 25" xfId="126"/>
    <cellStyle name="Данные для удаления 26" xfId="127"/>
    <cellStyle name="Данные для удаления 27" xfId="128"/>
    <cellStyle name="Данные для удаления 28" xfId="129"/>
    <cellStyle name="Данные для удаления 29" xfId="130"/>
    <cellStyle name="Данные для удаления 3" xfId="131"/>
    <cellStyle name="Данные для удаления 30" xfId="132"/>
    <cellStyle name="Данные для удаления 31" xfId="133"/>
    <cellStyle name="Данные для удаления 32" xfId="134"/>
    <cellStyle name="Данные для удаления 33" xfId="135"/>
    <cellStyle name="Данные для удаления 4" xfId="136"/>
    <cellStyle name="Данные для удаления 5" xfId="137"/>
    <cellStyle name="Данные для удаления 6" xfId="138"/>
    <cellStyle name="Данные для удаления 7" xfId="139"/>
    <cellStyle name="Данные для удаления 8" xfId="140"/>
    <cellStyle name="Данные для удаления 9" xfId="141"/>
    <cellStyle name="Currency" xfId="142"/>
    <cellStyle name="Currency [0]" xfId="143"/>
    <cellStyle name="Заголовки полей" xfId="144"/>
    <cellStyle name="Заголовки полей [печать]" xfId="145"/>
    <cellStyle name="Заголовки полей 10" xfId="146"/>
    <cellStyle name="Заголовки полей 11" xfId="147"/>
    <cellStyle name="Заголовки полей 12" xfId="148"/>
    <cellStyle name="Заголовки полей 13" xfId="149"/>
    <cellStyle name="Заголовки полей 14" xfId="150"/>
    <cellStyle name="Заголовки полей 15" xfId="151"/>
    <cellStyle name="Заголовки полей 16" xfId="152"/>
    <cellStyle name="Заголовки полей 17" xfId="153"/>
    <cellStyle name="Заголовки полей 18" xfId="154"/>
    <cellStyle name="Заголовки полей 19" xfId="155"/>
    <cellStyle name="Заголовки полей 2" xfId="156"/>
    <cellStyle name="Заголовки полей 20" xfId="157"/>
    <cellStyle name="Заголовки полей 21" xfId="158"/>
    <cellStyle name="Заголовки полей 22" xfId="159"/>
    <cellStyle name="Заголовки полей 23" xfId="160"/>
    <cellStyle name="Заголовки полей 24" xfId="161"/>
    <cellStyle name="Заголовки полей 25" xfId="162"/>
    <cellStyle name="Заголовки полей 26" xfId="163"/>
    <cellStyle name="Заголовки полей 27" xfId="164"/>
    <cellStyle name="Заголовки полей 28" xfId="165"/>
    <cellStyle name="Заголовки полей 29" xfId="166"/>
    <cellStyle name="Заголовки полей 3" xfId="167"/>
    <cellStyle name="Заголовки полей 30" xfId="168"/>
    <cellStyle name="Заголовки полей 31" xfId="169"/>
    <cellStyle name="Заголовки полей 32" xfId="170"/>
    <cellStyle name="Заголовки полей 33" xfId="171"/>
    <cellStyle name="Заголовки полей 4" xfId="172"/>
    <cellStyle name="Заголовки полей 5" xfId="173"/>
    <cellStyle name="Заголовки полей 6" xfId="174"/>
    <cellStyle name="Заголовки полей 7" xfId="175"/>
    <cellStyle name="Заголовки полей 8" xfId="176"/>
    <cellStyle name="Заголовки полей 9" xfId="177"/>
    <cellStyle name="Заголовок 1" xfId="178"/>
    <cellStyle name="Заголовок 2" xfId="179"/>
    <cellStyle name="Заголовок 3" xfId="180"/>
    <cellStyle name="Заголовок 4" xfId="181"/>
    <cellStyle name="Заголовок меры" xfId="182"/>
    <cellStyle name="Заголовок меры 10" xfId="183"/>
    <cellStyle name="Заголовок меры 11" xfId="184"/>
    <cellStyle name="Заголовок меры 12" xfId="185"/>
    <cellStyle name="Заголовок меры 13" xfId="186"/>
    <cellStyle name="Заголовок меры 14" xfId="187"/>
    <cellStyle name="Заголовок меры 15" xfId="188"/>
    <cellStyle name="Заголовок меры 16" xfId="189"/>
    <cellStyle name="Заголовок меры 17" xfId="190"/>
    <cellStyle name="Заголовок меры 18" xfId="191"/>
    <cellStyle name="Заголовок меры 19" xfId="192"/>
    <cellStyle name="Заголовок меры 2" xfId="193"/>
    <cellStyle name="Заголовок меры 20" xfId="194"/>
    <cellStyle name="Заголовок меры 21" xfId="195"/>
    <cellStyle name="Заголовок меры 22" xfId="196"/>
    <cellStyle name="Заголовок меры 23" xfId="197"/>
    <cellStyle name="Заголовок меры 24" xfId="198"/>
    <cellStyle name="Заголовок меры 25" xfId="199"/>
    <cellStyle name="Заголовок меры 26" xfId="200"/>
    <cellStyle name="Заголовок меры 27" xfId="201"/>
    <cellStyle name="Заголовок меры 28" xfId="202"/>
    <cellStyle name="Заголовок меры 29" xfId="203"/>
    <cellStyle name="Заголовок меры 3" xfId="204"/>
    <cellStyle name="Заголовок меры 30" xfId="205"/>
    <cellStyle name="Заголовок меры 31" xfId="206"/>
    <cellStyle name="Заголовок меры 32" xfId="207"/>
    <cellStyle name="Заголовок меры 33" xfId="208"/>
    <cellStyle name="Заголовок меры 4" xfId="209"/>
    <cellStyle name="Заголовок меры 5" xfId="210"/>
    <cellStyle name="Заголовок меры 6" xfId="211"/>
    <cellStyle name="Заголовок меры 7" xfId="212"/>
    <cellStyle name="Заголовок меры 8" xfId="213"/>
    <cellStyle name="Заголовок меры 9" xfId="214"/>
    <cellStyle name="Заголовок показателя [печать]" xfId="215"/>
    <cellStyle name="Заголовок показателя константы" xfId="216"/>
    <cellStyle name="Заголовок показателя константы 10" xfId="217"/>
    <cellStyle name="Заголовок показателя константы 11" xfId="218"/>
    <cellStyle name="Заголовок показателя константы 12" xfId="219"/>
    <cellStyle name="Заголовок показателя константы 13" xfId="220"/>
    <cellStyle name="Заголовок показателя константы 14" xfId="221"/>
    <cellStyle name="Заголовок показателя константы 15" xfId="222"/>
    <cellStyle name="Заголовок показателя константы 16" xfId="223"/>
    <cellStyle name="Заголовок показателя константы 17" xfId="224"/>
    <cellStyle name="Заголовок показателя константы 18" xfId="225"/>
    <cellStyle name="Заголовок показателя константы 19" xfId="226"/>
    <cellStyle name="Заголовок показателя константы 2" xfId="227"/>
    <cellStyle name="Заголовок показателя константы 20" xfId="228"/>
    <cellStyle name="Заголовок показателя константы 21" xfId="229"/>
    <cellStyle name="Заголовок показателя константы 22" xfId="230"/>
    <cellStyle name="Заголовок показателя константы 23" xfId="231"/>
    <cellStyle name="Заголовок показателя константы 24" xfId="232"/>
    <cellStyle name="Заголовок показателя константы 25" xfId="233"/>
    <cellStyle name="Заголовок показателя константы 26" xfId="234"/>
    <cellStyle name="Заголовок показателя константы 27" xfId="235"/>
    <cellStyle name="Заголовок показателя константы 28" xfId="236"/>
    <cellStyle name="Заголовок показателя константы 29" xfId="237"/>
    <cellStyle name="Заголовок показателя константы 3" xfId="238"/>
    <cellStyle name="Заголовок показателя константы 30" xfId="239"/>
    <cellStyle name="Заголовок показателя константы 31" xfId="240"/>
    <cellStyle name="Заголовок показателя константы 32" xfId="241"/>
    <cellStyle name="Заголовок показателя константы 33" xfId="242"/>
    <cellStyle name="Заголовок показателя константы 4" xfId="243"/>
    <cellStyle name="Заголовок показателя константы 5" xfId="244"/>
    <cellStyle name="Заголовок показателя константы 6" xfId="245"/>
    <cellStyle name="Заголовок показателя константы 7" xfId="246"/>
    <cellStyle name="Заголовок показателя константы 8" xfId="247"/>
    <cellStyle name="Заголовок показателя константы 9" xfId="248"/>
    <cellStyle name="Заголовок результата расчета" xfId="249"/>
    <cellStyle name="Заголовок результата расчета 10" xfId="250"/>
    <cellStyle name="Заголовок результата расчета 11" xfId="251"/>
    <cellStyle name="Заголовок результата расчета 12" xfId="252"/>
    <cellStyle name="Заголовок результата расчета 13" xfId="253"/>
    <cellStyle name="Заголовок результата расчета 14" xfId="254"/>
    <cellStyle name="Заголовок результата расчета 15" xfId="255"/>
    <cellStyle name="Заголовок результата расчета 16" xfId="256"/>
    <cellStyle name="Заголовок результата расчета 17" xfId="257"/>
    <cellStyle name="Заголовок результата расчета 18" xfId="258"/>
    <cellStyle name="Заголовок результата расчета 19" xfId="259"/>
    <cellStyle name="Заголовок результата расчета 2" xfId="260"/>
    <cellStyle name="Заголовок результата расчета 20" xfId="261"/>
    <cellStyle name="Заголовок результата расчета 21" xfId="262"/>
    <cellStyle name="Заголовок результата расчета 22" xfId="263"/>
    <cellStyle name="Заголовок результата расчета 23" xfId="264"/>
    <cellStyle name="Заголовок результата расчета 24" xfId="265"/>
    <cellStyle name="Заголовок результата расчета 25" xfId="266"/>
    <cellStyle name="Заголовок результата расчета 26" xfId="267"/>
    <cellStyle name="Заголовок результата расчета 27" xfId="268"/>
    <cellStyle name="Заголовок результата расчета 28" xfId="269"/>
    <cellStyle name="Заголовок результата расчета 29" xfId="270"/>
    <cellStyle name="Заголовок результата расчета 3" xfId="271"/>
    <cellStyle name="Заголовок результата расчета 30" xfId="272"/>
    <cellStyle name="Заголовок результата расчета 31" xfId="273"/>
    <cellStyle name="Заголовок результата расчета 32" xfId="274"/>
    <cellStyle name="Заголовок результата расчета 33" xfId="275"/>
    <cellStyle name="Заголовок результата расчета 4" xfId="276"/>
    <cellStyle name="Заголовок результата расчета 5" xfId="277"/>
    <cellStyle name="Заголовок результата расчета 6" xfId="278"/>
    <cellStyle name="Заголовок результата расчета 7" xfId="279"/>
    <cellStyle name="Заголовок результата расчета 8" xfId="280"/>
    <cellStyle name="Заголовок результата расчета 9" xfId="281"/>
    <cellStyle name="Заголовок свободного показателя" xfId="282"/>
    <cellStyle name="Заголовок свободного показателя 10" xfId="283"/>
    <cellStyle name="Заголовок свободного показателя 11" xfId="284"/>
    <cellStyle name="Заголовок свободного показателя 12" xfId="285"/>
    <cellStyle name="Заголовок свободного показателя 13" xfId="286"/>
    <cellStyle name="Заголовок свободного показателя 14" xfId="287"/>
    <cellStyle name="Заголовок свободного показателя 15" xfId="288"/>
    <cellStyle name="Заголовок свободного показателя 16" xfId="289"/>
    <cellStyle name="Заголовок свободного показателя 17" xfId="290"/>
    <cellStyle name="Заголовок свободного показателя 18" xfId="291"/>
    <cellStyle name="Заголовок свободного показателя 19" xfId="292"/>
    <cellStyle name="Заголовок свободного показателя 2" xfId="293"/>
    <cellStyle name="Заголовок свободного показателя 20" xfId="294"/>
    <cellStyle name="Заголовок свободного показателя 21" xfId="295"/>
    <cellStyle name="Заголовок свободного показателя 22" xfId="296"/>
    <cellStyle name="Заголовок свободного показателя 23" xfId="297"/>
    <cellStyle name="Заголовок свободного показателя 24" xfId="298"/>
    <cellStyle name="Заголовок свободного показателя 25" xfId="299"/>
    <cellStyle name="Заголовок свободного показателя 26" xfId="300"/>
    <cellStyle name="Заголовок свободного показателя 27" xfId="301"/>
    <cellStyle name="Заголовок свободного показателя 28" xfId="302"/>
    <cellStyle name="Заголовок свободного показателя 29" xfId="303"/>
    <cellStyle name="Заголовок свободного показателя 3" xfId="304"/>
    <cellStyle name="Заголовок свободного показателя 30" xfId="305"/>
    <cellStyle name="Заголовок свободного показателя 31" xfId="306"/>
    <cellStyle name="Заголовок свободного показателя 32" xfId="307"/>
    <cellStyle name="Заголовок свободного показателя 33" xfId="308"/>
    <cellStyle name="Заголовок свободного показателя 4" xfId="309"/>
    <cellStyle name="Заголовок свободного показателя 5" xfId="310"/>
    <cellStyle name="Заголовок свободного показателя 6" xfId="311"/>
    <cellStyle name="Заголовок свободного показателя 7" xfId="312"/>
    <cellStyle name="Заголовок свободного показателя 8" xfId="313"/>
    <cellStyle name="Заголовок свободного показателя 9" xfId="314"/>
    <cellStyle name="Значение фильтра" xfId="315"/>
    <cellStyle name="Значение фильтра [печать]" xfId="316"/>
    <cellStyle name="Значение фильтра [печать] 10" xfId="317"/>
    <cellStyle name="Значение фильтра [печать] 11" xfId="318"/>
    <cellStyle name="Значение фильтра [печать] 12" xfId="319"/>
    <cellStyle name="Значение фильтра [печать] 13" xfId="320"/>
    <cellStyle name="Значение фильтра [печать] 14" xfId="321"/>
    <cellStyle name="Значение фильтра [печать] 15" xfId="322"/>
    <cellStyle name="Значение фильтра [печать] 16" xfId="323"/>
    <cellStyle name="Значение фильтра [печать] 17" xfId="324"/>
    <cellStyle name="Значение фильтра [печать] 18" xfId="325"/>
    <cellStyle name="Значение фильтра [печать] 19" xfId="326"/>
    <cellStyle name="Значение фильтра [печать] 2" xfId="327"/>
    <cellStyle name="Значение фильтра [печать] 20" xfId="328"/>
    <cellStyle name="Значение фильтра [печать] 21" xfId="329"/>
    <cellStyle name="Значение фильтра [печать] 22" xfId="330"/>
    <cellStyle name="Значение фильтра [печать] 23" xfId="331"/>
    <cellStyle name="Значение фильтра [печать] 24" xfId="332"/>
    <cellStyle name="Значение фильтра [печать] 25" xfId="333"/>
    <cellStyle name="Значение фильтра [печать] 26" xfId="334"/>
    <cellStyle name="Значение фильтра [печать] 27" xfId="335"/>
    <cellStyle name="Значение фильтра [печать] 28" xfId="336"/>
    <cellStyle name="Значение фильтра [печать] 29" xfId="337"/>
    <cellStyle name="Значение фильтра [печать] 3" xfId="338"/>
    <cellStyle name="Значение фильтра [печать] 30" xfId="339"/>
    <cellStyle name="Значение фильтра [печать] 31" xfId="340"/>
    <cellStyle name="Значение фильтра [печать] 32" xfId="341"/>
    <cellStyle name="Значение фильтра [печать] 33" xfId="342"/>
    <cellStyle name="Значение фильтра [печать] 4" xfId="343"/>
    <cellStyle name="Значение фильтра [печать] 5" xfId="344"/>
    <cellStyle name="Значение фильтра [печать] 6" xfId="345"/>
    <cellStyle name="Значение фильтра [печать] 7" xfId="346"/>
    <cellStyle name="Значение фильтра [печать] 8" xfId="347"/>
    <cellStyle name="Значение фильтра [печать] 9" xfId="348"/>
    <cellStyle name="Значение фильтра 10" xfId="349"/>
    <cellStyle name="Значение фильтра 11" xfId="350"/>
    <cellStyle name="Значение фильтра 12" xfId="351"/>
    <cellStyle name="Значение фильтра 13" xfId="352"/>
    <cellStyle name="Значение фильтра 14" xfId="353"/>
    <cellStyle name="Значение фильтра 15" xfId="354"/>
    <cellStyle name="Значение фильтра 16" xfId="355"/>
    <cellStyle name="Значение фильтра 17" xfId="356"/>
    <cellStyle name="Значение фильтра 18" xfId="357"/>
    <cellStyle name="Значение фильтра 19" xfId="358"/>
    <cellStyle name="Значение фильтра 2" xfId="359"/>
    <cellStyle name="Значение фильтра 20" xfId="360"/>
    <cellStyle name="Значение фильтра 21" xfId="361"/>
    <cellStyle name="Значение фильтра 22" xfId="362"/>
    <cellStyle name="Значение фильтра 23" xfId="363"/>
    <cellStyle name="Значение фильтра 24" xfId="364"/>
    <cellStyle name="Значение фильтра 25" xfId="365"/>
    <cellStyle name="Значение фильтра 26" xfId="366"/>
    <cellStyle name="Значение фильтра 27" xfId="367"/>
    <cellStyle name="Значение фильтра 28" xfId="368"/>
    <cellStyle name="Значение фильтра 29" xfId="369"/>
    <cellStyle name="Значение фильтра 3" xfId="370"/>
    <cellStyle name="Значение фильтра 30" xfId="371"/>
    <cellStyle name="Значение фильтра 31" xfId="372"/>
    <cellStyle name="Значение фильтра 32" xfId="373"/>
    <cellStyle name="Значение фильтра 33" xfId="374"/>
    <cellStyle name="Значение фильтра 4" xfId="375"/>
    <cellStyle name="Значение фильтра 5" xfId="376"/>
    <cellStyle name="Значение фильтра 6" xfId="377"/>
    <cellStyle name="Значение фильтра 7" xfId="378"/>
    <cellStyle name="Значение фильтра 8" xfId="379"/>
    <cellStyle name="Значение фильтра 9" xfId="380"/>
    <cellStyle name="Информация о задаче" xfId="381"/>
    <cellStyle name="Итог" xfId="382"/>
    <cellStyle name="Контрольная ячейка" xfId="383"/>
    <cellStyle name="Название" xfId="384"/>
    <cellStyle name="Нейтральный" xfId="385"/>
    <cellStyle name="Обычный 10" xfId="386"/>
    <cellStyle name="Обычный 11" xfId="387"/>
    <cellStyle name="Обычный 12" xfId="388"/>
    <cellStyle name="Обычный 13" xfId="389"/>
    <cellStyle name="Обычный 14" xfId="390"/>
    <cellStyle name="Обычный 15" xfId="391"/>
    <cellStyle name="Обычный 16" xfId="392"/>
    <cellStyle name="Обычный 17" xfId="393"/>
    <cellStyle name="Обычный 2" xfId="394"/>
    <cellStyle name="Обычный 2 10" xfId="395"/>
    <cellStyle name="Обычный 2 10 10" xfId="396"/>
    <cellStyle name="Обычный 2 10 11" xfId="397"/>
    <cellStyle name="Обычный 2 10 12" xfId="398"/>
    <cellStyle name="Обычный 2 10 13" xfId="399"/>
    <cellStyle name="Обычный 2 10 2" xfId="400"/>
    <cellStyle name="Обычный 2 10 3" xfId="401"/>
    <cellStyle name="Обычный 2 10 4" xfId="402"/>
    <cellStyle name="Обычный 2 10 5" xfId="403"/>
    <cellStyle name="Обычный 2 10 6" xfId="404"/>
    <cellStyle name="Обычный 2 10 7" xfId="405"/>
    <cellStyle name="Обычный 2 10 8" xfId="406"/>
    <cellStyle name="Обычный 2 10 9" xfId="407"/>
    <cellStyle name="Обычный 2 11" xfId="408"/>
    <cellStyle name="Обычный 2 11 10" xfId="409"/>
    <cellStyle name="Обычный 2 11 11" xfId="410"/>
    <cellStyle name="Обычный 2 11 12" xfId="411"/>
    <cellStyle name="Обычный 2 11 13" xfId="412"/>
    <cellStyle name="Обычный 2 11 2" xfId="413"/>
    <cellStyle name="Обычный 2 11 3" xfId="414"/>
    <cellStyle name="Обычный 2 11 4" xfId="415"/>
    <cellStyle name="Обычный 2 11 5" xfId="416"/>
    <cellStyle name="Обычный 2 11 6" xfId="417"/>
    <cellStyle name="Обычный 2 11 7" xfId="418"/>
    <cellStyle name="Обычный 2 11 8" xfId="419"/>
    <cellStyle name="Обычный 2 11 9" xfId="420"/>
    <cellStyle name="Обычный 2 12" xfId="421"/>
    <cellStyle name="Обычный 2 12 10" xfId="422"/>
    <cellStyle name="Обычный 2 12 11" xfId="423"/>
    <cellStyle name="Обычный 2 12 12" xfId="424"/>
    <cellStyle name="Обычный 2 12 13" xfId="425"/>
    <cellStyle name="Обычный 2 12 2" xfId="426"/>
    <cellStyle name="Обычный 2 12 3" xfId="427"/>
    <cellStyle name="Обычный 2 12 4" xfId="428"/>
    <cellStyle name="Обычный 2 12 5" xfId="429"/>
    <cellStyle name="Обычный 2 12 6" xfId="430"/>
    <cellStyle name="Обычный 2 12 7" xfId="431"/>
    <cellStyle name="Обычный 2 12 8" xfId="432"/>
    <cellStyle name="Обычный 2 12 9" xfId="433"/>
    <cellStyle name="Обычный 2 13" xfId="434"/>
    <cellStyle name="Обычный 2 13 10" xfId="435"/>
    <cellStyle name="Обычный 2 13 11" xfId="436"/>
    <cellStyle name="Обычный 2 13 12" xfId="437"/>
    <cellStyle name="Обычный 2 13 13" xfId="438"/>
    <cellStyle name="Обычный 2 13 2" xfId="439"/>
    <cellStyle name="Обычный 2 13 3" xfId="440"/>
    <cellStyle name="Обычный 2 13 4" xfId="441"/>
    <cellStyle name="Обычный 2 13 5" xfId="442"/>
    <cellStyle name="Обычный 2 13 6" xfId="443"/>
    <cellStyle name="Обычный 2 13 7" xfId="444"/>
    <cellStyle name="Обычный 2 13 8" xfId="445"/>
    <cellStyle name="Обычный 2 13 9" xfId="446"/>
    <cellStyle name="Обычный 2 14" xfId="447"/>
    <cellStyle name="Обычный 2 15" xfId="448"/>
    <cellStyle name="Обычный 2 16" xfId="449"/>
    <cellStyle name="Обычный 2 17" xfId="450"/>
    <cellStyle name="Обычный 2 18" xfId="451"/>
    <cellStyle name="Обычный 2 19" xfId="452"/>
    <cellStyle name="Обычный 2 2" xfId="453"/>
    <cellStyle name="Обычный 2 2 2" xfId="454"/>
    <cellStyle name="Обычный 2 2 3" xfId="455"/>
    <cellStyle name="Обычный 2 2 4" xfId="456"/>
    <cellStyle name="Обычный 2 2_Оц. кач. 11 мес.2014 ффф" xfId="457"/>
    <cellStyle name="Обычный 2 20" xfId="458"/>
    <cellStyle name="Обычный 2 21" xfId="459"/>
    <cellStyle name="Обычный 2 22" xfId="460"/>
    <cellStyle name="Обычный 2 23" xfId="461"/>
    <cellStyle name="Обычный 2 24" xfId="462"/>
    <cellStyle name="Обычный 2 25" xfId="463"/>
    <cellStyle name="Обычный 2 26" xfId="464"/>
    <cellStyle name="Обычный 2 27" xfId="465"/>
    <cellStyle name="Обычный 2 28" xfId="466"/>
    <cellStyle name="Обычный 2 29" xfId="467"/>
    <cellStyle name="Обычный 2 3" xfId="468"/>
    <cellStyle name="Обычный 2 3 10" xfId="469"/>
    <cellStyle name="Обычный 2 3 11" xfId="470"/>
    <cellStyle name="Обычный 2 3 12" xfId="471"/>
    <cellStyle name="Обычный 2 3 13" xfId="472"/>
    <cellStyle name="Обычный 2 3 2" xfId="473"/>
    <cellStyle name="Обычный 2 3 3" xfId="474"/>
    <cellStyle name="Обычный 2 3 4" xfId="475"/>
    <cellStyle name="Обычный 2 3 5" xfId="476"/>
    <cellStyle name="Обычный 2 3 6" xfId="477"/>
    <cellStyle name="Обычный 2 3 7" xfId="478"/>
    <cellStyle name="Обычный 2 3 8" xfId="479"/>
    <cellStyle name="Обычный 2 3 9" xfId="480"/>
    <cellStyle name="Обычный 2 30" xfId="481"/>
    <cellStyle name="Обычный 2 31" xfId="482"/>
    <cellStyle name="Обычный 2 32" xfId="483"/>
    <cellStyle name="Обычный 2 33" xfId="484"/>
    <cellStyle name="Обычный 2 34" xfId="485"/>
    <cellStyle name="Обычный 2 35" xfId="486"/>
    <cellStyle name="Обычный 2 36" xfId="487"/>
    <cellStyle name="Обычный 2 37" xfId="488"/>
    <cellStyle name="Обычный 2 38" xfId="489"/>
    <cellStyle name="Обычный 2 39" xfId="490"/>
    <cellStyle name="Обычный 2 4" xfId="491"/>
    <cellStyle name="Обычный 2 4 10" xfId="492"/>
    <cellStyle name="Обычный 2 4 11" xfId="493"/>
    <cellStyle name="Обычный 2 4 12" xfId="494"/>
    <cellStyle name="Обычный 2 4 13" xfId="495"/>
    <cellStyle name="Обычный 2 4 2" xfId="496"/>
    <cellStyle name="Обычный 2 4 3" xfId="497"/>
    <cellStyle name="Обычный 2 4 4" xfId="498"/>
    <cellStyle name="Обычный 2 4 5" xfId="499"/>
    <cellStyle name="Обычный 2 4 6" xfId="500"/>
    <cellStyle name="Обычный 2 4 7" xfId="501"/>
    <cellStyle name="Обычный 2 4 8" xfId="502"/>
    <cellStyle name="Обычный 2 4 9" xfId="503"/>
    <cellStyle name="Обычный 2 40" xfId="504"/>
    <cellStyle name="Обычный 2 41" xfId="505"/>
    <cellStyle name="Обычный 2 42" xfId="506"/>
    <cellStyle name="Обычный 2 43" xfId="507"/>
    <cellStyle name="Обычный 2 44" xfId="508"/>
    <cellStyle name="Обычный 2 45" xfId="509"/>
    <cellStyle name="Обычный 2 46" xfId="510"/>
    <cellStyle name="Обычный 2 47" xfId="511"/>
    <cellStyle name="Обычный 2 48" xfId="512"/>
    <cellStyle name="Обычный 2 49" xfId="513"/>
    <cellStyle name="Обычный 2 5" xfId="514"/>
    <cellStyle name="Обычный 2 50" xfId="515"/>
    <cellStyle name="Обычный 2 51" xfId="516"/>
    <cellStyle name="Обычный 2 52" xfId="517"/>
    <cellStyle name="Обычный 2 53" xfId="518"/>
    <cellStyle name="Обычный 2 54" xfId="519"/>
    <cellStyle name="Обычный 2 55" xfId="520"/>
    <cellStyle name="Обычный 2 56" xfId="521"/>
    <cellStyle name="Обычный 2 57" xfId="522"/>
    <cellStyle name="Обычный 2 58" xfId="523"/>
    <cellStyle name="Обычный 2 59" xfId="524"/>
    <cellStyle name="Обычный 2 6" xfId="525"/>
    <cellStyle name="Обычный 2 60" xfId="526"/>
    <cellStyle name="Обычный 2 61" xfId="527"/>
    <cellStyle name="Обычный 2 62" xfId="528"/>
    <cellStyle name="Обычный 2 63" xfId="529"/>
    <cellStyle name="Обычный 2 64" xfId="530"/>
    <cellStyle name="Обычный 2 7" xfId="531"/>
    <cellStyle name="Обычный 2 8" xfId="532"/>
    <cellStyle name="Обычный 2 8 10" xfId="533"/>
    <cellStyle name="Обычный 2 8 11" xfId="534"/>
    <cellStyle name="Обычный 2 8 12" xfId="535"/>
    <cellStyle name="Обычный 2 8 13" xfId="536"/>
    <cellStyle name="Обычный 2 8 2" xfId="537"/>
    <cellStyle name="Обычный 2 8 3" xfId="538"/>
    <cellStyle name="Обычный 2 8 4" xfId="539"/>
    <cellStyle name="Обычный 2 8 5" xfId="540"/>
    <cellStyle name="Обычный 2 8 6" xfId="541"/>
    <cellStyle name="Обычный 2 8 7" xfId="542"/>
    <cellStyle name="Обычный 2 8 8" xfId="543"/>
    <cellStyle name="Обычный 2 8 9" xfId="544"/>
    <cellStyle name="Обычный 2 9" xfId="545"/>
    <cellStyle name="Обычный 2 9 10" xfId="546"/>
    <cellStyle name="Обычный 2 9 11" xfId="547"/>
    <cellStyle name="Обычный 2 9 12" xfId="548"/>
    <cellStyle name="Обычный 2 9 13" xfId="549"/>
    <cellStyle name="Обычный 2 9 2" xfId="550"/>
    <cellStyle name="Обычный 2 9 3" xfId="551"/>
    <cellStyle name="Обычный 2 9 4" xfId="552"/>
    <cellStyle name="Обычный 2 9 5" xfId="553"/>
    <cellStyle name="Обычный 2 9 6" xfId="554"/>
    <cellStyle name="Обычный 2 9 7" xfId="555"/>
    <cellStyle name="Обычный 2 9 8" xfId="556"/>
    <cellStyle name="Обычный 2 9 9" xfId="557"/>
    <cellStyle name="Обычный 3" xfId="558"/>
    <cellStyle name="Обычный 3_Оц. кач. 11 мес.2014 ффф" xfId="559"/>
    <cellStyle name="Обычный 4" xfId="560"/>
    <cellStyle name="Обычный 5" xfId="561"/>
    <cellStyle name="Обычный 6" xfId="562"/>
    <cellStyle name="Обычный 7" xfId="563"/>
    <cellStyle name="Обычный 8" xfId="564"/>
    <cellStyle name="Обычный 9" xfId="565"/>
    <cellStyle name="Обычный_tmp" xfId="566"/>
    <cellStyle name="Обычный_tmp_2 кв. 2011 за полугодие  (2)" xfId="567"/>
    <cellStyle name="Отдельная ячейка" xfId="568"/>
    <cellStyle name="Отдельная ячейка - константа" xfId="569"/>
    <cellStyle name="Отдельная ячейка - константа [печать]" xfId="570"/>
    <cellStyle name="Отдельная ячейка - константа [печать] 10" xfId="571"/>
    <cellStyle name="Отдельная ячейка - константа [печать] 11" xfId="572"/>
    <cellStyle name="Отдельная ячейка - константа [печать] 12" xfId="573"/>
    <cellStyle name="Отдельная ячейка - константа [печать] 13" xfId="574"/>
    <cellStyle name="Отдельная ячейка - константа [печать] 14" xfId="575"/>
    <cellStyle name="Отдельная ячейка - константа [печать] 15" xfId="576"/>
    <cellStyle name="Отдельная ячейка - константа [печать] 16" xfId="577"/>
    <cellStyle name="Отдельная ячейка - константа [печать] 17" xfId="578"/>
    <cellStyle name="Отдельная ячейка - константа [печать] 18" xfId="579"/>
    <cellStyle name="Отдельная ячейка - константа [печать] 19" xfId="580"/>
    <cellStyle name="Отдельная ячейка - константа [печать] 2" xfId="581"/>
    <cellStyle name="Отдельная ячейка - константа [печать] 20" xfId="582"/>
    <cellStyle name="Отдельная ячейка - константа [печать] 21" xfId="583"/>
    <cellStyle name="Отдельная ячейка - константа [печать] 22" xfId="584"/>
    <cellStyle name="Отдельная ячейка - константа [печать] 23" xfId="585"/>
    <cellStyle name="Отдельная ячейка - константа [печать] 24" xfId="586"/>
    <cellStyle name="Отдельная ячейка - константа [печать] 25" xfId="587"/>
    <cellStyle name="Отдельная ячейка - константа [печать] 26" xfId="588"/>
    <cellStyle name="Отдельная ячейка - константа [печать] 27" xfId="589"/>
    <cellStyle name="Отдельная ячейка - константа [печать] 28" xfId="590"/>
    <cellStyle name="Отдельная ячейка - константа [печать] 29" xfId="591"/>
    <cellStyle name="Отдельная ячейка - константа [печать] 3" xfId="592"/>
    <cellStyle name="Отдельная ячейка - константа [печать] 30" xfId="593"/>
    <cellStyle name="Отдельная ячейка - константа [печать] 31" xfId="594"/>
    <cellStyle name="Отдельная ячейка - константа [печать] 32" xfId="595"/>
    <cellStyle name="Отдельная ячейка - константа [печать] 33" xfId="596"/>
    <cellStyle name="Отдельная ячейка - константа [печать] 4" xfId="597"/>
    <cellStyle name="Отдельная ячейка - константа [печать] 5" xfId="598"/>
    <cellStyle name="Отдельная ячейка - константа [печать] 6" xfId="599"/>
    <cellStyle name="Отдельная ячейка - константа [печать] 7" xfId="600"/>
    <cellStyle name="Отдельная ячейка - константа [печать] 8" xfId="601"/>
    <cellStyle name="Отдельная ячейка - константа [печать] 9" xfId="602"/>
    <cellStyle name="Отдельная ячейка - константа 10" xfId="603"/>
    <cellStyle name="Отдельная ячейка - константа 11" xfId="604"/>
    <cellStyle name="Отдельная ячейка - константа 12" xfId="605"/>
    <cellStyle name="Отдельная ячейка - константа 13" xfId="606"/>
    <cellStyle name="Отдельная ячейка - константа 14" xfId="607"/>
    <cellStyle name="Отдельная ячейка - константа 15" xfId="608"/>
    <cellStyle name="Отдельная ячейка - константа 16" xfId="609"/>
    <cellStyle name="Отдельная ячейка - константа 17" xfId="610"/>
    <cellStyle name="Отдельная ячейка - константа 18" xfId="611"/>
    <cellStyle name="Отдельная ячейка - константа 19" xfId="612"/>
    <cellStyle name="Отдельная ячейка - константа 2" xfId="613"/>
    <cellStyle name="Отдельная ячейка - константа 20" xfId="614"/>
    <cellStyle name="Отдельная ячейка - константа 21" xfId="615"/>
    <cellStyle name="Отдельная ячейка - константа 22" xfId="616"/>
    <cellStyle name="Отдельная ячейка - константа 23" xfId="617"/>
    <cellStyle name="Отдельная ячейка - константа 24" xfId="618"/>
    <cellStyle name="Отдельная ячейка - константа 25" xfId="619"/>
    <cellStyle name="Отдельная ячейка - константа 26" xfId="620"/>
    <cellStyle name="Отдельная ячейка - константа 27" xfId="621"/>
    <cellStyle name="Отдельная ячейка - константа 28" xfId="622"/>
    <cellStyle name="Отдельная ячейка - константа 29" xfId="623"/>
    <cellStyle name="Отдельная ячейка - константа 3" xfId="624"/>
    <cellStyle name="Отдельная ячейка - константа 30" xfId="625"/>
    <cellStyle name="Отдельная ячейка - константа 31" xfId="626"/>
    <cellStyle name="Отдельная ячейка - константа 32" xfId="627"/>
    <cellStyle name="Отдельная ячейка - константа 33" xfId="628"/>
    <cellStyle name="Отдельная ячейка - константа 4" xfId="629"/>
    <cellStyle name="Отдельная ячейка - константа 5" xfId="630"/>
    <cellStyle name="Отдельная ячейка - константа 6" xfId="631"/>
    <cellStyle name="Отдельная ячейка - константа 7" xfId="632"/>
    <cellStyle name="Отдельная ячейка - константа 8" xfId="633"/>
    <cellStyle name="Отдельная ячейка - константа 9" xfId="634"/>
    <cellStyle name="Отдельная ячейка [печать]" xfId="635"/>
    <cellStyle name="Отдельная ячейка [печать] 10" xfId="636"/>
    <cellStyle name="Отдельная ячейка [печать] 11" xfId="637"/>
    <cellStyle name="Отдельная ячейка [печать] 12" xfId="638"/>
    <cellStyle name="Отдельная ячейка [печать] 13" xfId="639"/>
    <cellStyle name="Отдельная ячейка [печать] 14" xfId="640"/>
    <cellStyle name="Отдельная ячейка [печать] 15" xfId="641"/>
    <cellStyle name="Отдельная ячейка [печать] 16" xfId="642"/>
    <cellStyle name="Отдельная ячейка [печать] 17" xfId="643"/>
    <cellStyle name="Отдельная ячейка [печать] 18" xfId="644"/>
    <cellStyle name="Отдельная ячейка [печать] 19" xfId="645"/>
    <cellStyle name="Отдельная ячейка [печать] 2" xfId="646"/>
    <cellStyle name="Отдельная ячейка [печать] 20" xfId="647"/>
    <cellStyle name="Отдельная ячейка [печать] 21" xfId="648"/>
    <cellStyle name="Отдельная ячейка [печать] 22" xfId="649"/>
    <cellStyle name="Отдельная ячейка [печать] 23" xfId="650"/>
    <cellStyle name="Отдельная ячейка [печать] 24" xfId="651"/>
    <cellStyle name="Отдельная ячейка [печать] 25" xfId="652"/>
    <cellStyle name="Отдельная ячейка [печать] 26" xfId="653"/>
    <cellStyle name="Отдельная ячейка [печать] 27" xfId="654"/>
    <cellStyle name="Отдельная ячейка [печать] 28" xfId="655"/>
    <cellStyle name="Отдельная ячейка [печать] 29" xfId="656"/>
    <cellStyle name="Отдельная ячейка [печать] 3" xfId="657"/>
    <cellStyle name="Отдельная ячейка [печать] 30" xfId="658"/>
    <cellStyle name="Отдельная ячейка [печать] 31" xfId="659"/>
    <cellStyle name="Отдельная ячейка [печать] 32" xfId="660"/>
    <cellStyle name="Отдельная ячейка [печать] 33" xfId="661"/>
    <cellStyle name="Отдельная ячейка [печать] 4" xfId="662"/>
    <cellStyle name="Отдельная ячейка [печать] 5" xfId="663"/>
    <cellStyle name="Отдельная ячейка [печать] 6" xfId="664"/>
    <cellStyle name="Отдельная ячейка [печать] 7" xfId="665"/>
    <cellStyle name="Отдельная ячейка [печать] 8" xfId="666"/>
    <cellStyle name="Отдельная ячейка [печать] 9" xfId="667"/>
    <cellStyle name="Отдельная ячейка 10" xfId="668"/>
    <cellStyle name="Отдельная ячейка 11" xfId="669"/>
    <cellStyle name="Отдельная ячейка 12" xfId="670"/>
    <cellStyle name="Отдельная ячейка 13" xfId="671"/>
    <cellStyle name="Отдельная ячейка 14" xfId="672"/>
    <cellStyle name="Отдельная ячейка 15" xfId="673"/>
    <cellStyle name="Отдельная ячейка 16" xfId="674"/>
    <cellStyle name="Отдельная ячейка 17" xfId="675"/>
    <cellStyle name="Отдельная ячейка 18" xfId="676"/>
    <cellStyle name="Отдельная ячейка 19" xfId="677"/>
    <cellStyle name="Отдельная ячейка 2" xfId="678"/>
    <cellStyle name="Отдельная ячейка 20" xfId="679"/>
    <cellStyle name="Отдельная ячейка 21" xfId="680"/>
    <cellStyle name="Отдельная ячейка 22" xfId="681"/>
    <cellStyle name="Отдельная ячейка 23" xfId="682"/>
    <cellStyle name="Отдельная ячейка 24" xfId="683"/>
    <cellStyle name="Отдельная ячейка 25" xfId="684"/>
    <cellStyle name="Отдельная ячейка 26" xfId="685"/>
    <cellStyle name="Отдельная ячейка 27" xfId="686"/>
    <cellStyle name="Отдельная ячейка 28" xfId="687"/>
    <cellStyle name="Отдельная ячейка 29" xfId="688"/>
    <cellStyle name="Отдельная ячейка 3" xfId="689"/>
    <cellStyle name="Отдельная ячейка 30" xfId="690"/>
    <cellStyle name="Отдельная ячейка 31" xfId="691"/>
    <cellStyle name="Отдельная ячейка 32" xfId="692"/>
    <cellStyle name="Отдельная ячейка 33" xfId="693"/>
    <cellStyle name="Отдельная ячейка 4" xfId="694"/>
    <cellStyle name="Отдельная ячейка 5" xfId="695"/>
    <cellStyle name="Отдельная ячейка 6" xfId="696"/>
    <cellStyle name="Отдельная ячейка 7" xfId="697"/>
    <cellStyle name="Отдельная ячейка 8" xfId="698"/>
    <cellStyle name="Отдельная ячейка 9" xfId="699"/>
    <cellStyle name="Отдельная ячейка-результат" xfId="700"/>
    <cellStyle name="Отдельная ячейка-результат [печать]" xfId="701"/>
    <cellStyle name="Отдельная ячейка-результат [печать] 10" xfId="702"/>
    <cellStyle name="Отдельная ячейка-результат [печать] 11" xfId="703"/>
    <cellStyle name="Отдельная ячейка-результат [печать] 12" xfId="704"/>
    <cellStyle name="Отдельная ячейка-результат [печать] 13" xfId="705"/>
    <cellStyle name="Отдельная ячейка-результат [печать] 14" xfId="706"/>
    <cellStyle name="Отдельная ячейка-результат [печать] 15" xfId="707"/>
    <cellStyle name="Отдельная ячейка-результат [печать] 16" xfId="708"/>
    <cellStyle name="Отдельная ячейка-результат [печать] 17" xfId="709"/>
    <cellStyle name="Отдельная ячейка-результат [печать] 18" xfId="710"/>
    <cellStyle name="Отдельная ячейка-результат [печать] 19" xfId="711"/>
    <cellStyle name="Отдельная ячейка-результат [печать] 2" xfId="712"/>
    <cellStyle name="Отдельная ячейка-результат [печать] 20" xfId="713"/>
    <cellStyle name="Отдельная ячейка-результат [печать] 21" xfId="714"/>
    <cellStyle name="Отдельная ячейка-результат [печать] 22" xfId="715"/>
    <cellStyle name="Отдельная ячейка-результат [печать] 23" xfId="716"/>
    <cellStyle name="Отдельная ячейка-результат [печать] 24" xfId="717"/>
    <cellStyle name="Отдельная ячейка-результат [печать] 25" xfId="718"/>
    <cellStyle name="Отдельная ячейка-результат [печать] 26" xfId="719"/>
    <cellStyle name="Отдельная ячейка-результат [печать] 27" xfId="720"/>
    <cellStyle name="Отдельная ячейка-результат [печать] 28" xfId="721"/>
    <cellStyle name="Отдельная ячейка-результат [печать] 29" xfId="722"/>
    <cellStyle name="Отдельная ячейка-результат [печать] 3" xfId="723"/>
    <cellStyle name="Отдельная ячейка-результат [печать] 30" xfId="724"/>
    <cellStyle name="Отдельная ячейка-результат [печать] 31" xfId="725"/>
    <cellStyle name="Отдельная ячейка-результат [печать] 32" xfId="726"/>
    <cellStyle name="Отдельная ячейка-результат [печать] 33" xfId="727"/>
    <cellStyle name="Отдельная ячейка-результат [печать] 4" xfId="728"/>
    <cellStyle name="Отдельная ячейка-результат [печать] 5" xfId="729"/>
    <cellStyle name="Отдельная ячейка-результат [печать] 6" xfId="730"/>
    <cellStyle name="Отдельная ячейка-результат [печать] 7" xfId="731"/>
    <cellStyle name="Отдельная ячейка-результат [печать] 8" xfId="732"/>
    <cellStyle name="Отдельная ячейка-результат [печать] 9" xfId="733"/>
    <cellStyle name="Отдельная ячейка-результат 10" xfId="734"/>
    <cellStyle name="Отдельная ячейка-результат 11" xfId="735"/>
    <cellStyle name="Отдельная ячейка-результат 12" xfId="736"/>
    <cellStyle name="Отдельная ячейка-результат 13" xfId="737"/>
    <cellStyle name="Отдельная ячейка-результат 14" xfId="738"/>
    <cellStyle name="Отдельная ячейка-результат 15" xfId="739"/>
    <cellStyle name="Отдельная ячейка-результат 16" xfId="740"/>
    <cellStyle name="Отдельная ячейка-результат 17" xfId="741"/>
    <cellStyle name="Отдельная ячейка-результат 18" xfId="742"/>
    <cellStyle name="Отдельная ячейка-результат 19" xfId="743"/>
    <cellStyle name="Отдельная ячейка-результат 2" xfId="744"/>
    <cellStyle name="Отдельная ячейка-результат 20" xfId="745"/>
    <cellStyle name="Отдельная ячейка-результат 21" xfId="746"/>
    <cellStyle name="Отдельная ячейка-результат 22" xfId="747"/>
    <cellStyle name="Отдельная ячейка-результат 23" xfId="748"/>
    <cellStyle name="Отдельная ячейка-результат 24" xfId="749"/>
    <cellStyle name="Отдельная ячейка-результат 25" xfId="750"/>
    <cellStyle name="Отдельная ячейка-результат 26" xfId="751"/>
    <cellStyle name="Отдельная ячейка-результат 27" xfId="752"/>
    <cellStyle name="Отдельная ячейка-результат 28" xfId="753"/>
    <cellStyle name="Отдельная ячейка-результат 29" xfId="754"/>
    <cellStyle name="Отдельная ячейка-результат 3" xfId="755"/>
    <cellStyle name="Отдельная ячейка-результат 30" xfId="756"/>
    <cellStyle name="Отдельная ячейка-результат 31" xfId="757"/>
    <cellStyle name="Отдельная ячейка-результат 32" xfId="758"/>
    <cellStyle name="Отдельная ячейка-результат 33" xfId="759"/>
    <cellStyle name="Отдельная ячейка-результат 4" xfId="760"/>
    <cellStyle name="Отдельная ячейка-результат 5" xfId="761"/>
    <cellStyle name="Отдельная ячейка-результат 6" xfId="762"/>
    <cellStyle name="Отдельная ячейка-результат 7" xfId="763"/>
    <cellStyle name="Отдельная ячейка-результат 8" xfId="764"/>
    <cellStyle name="Отдельная ячейка-результат 9" xfId="765"/>
    <cellStyle name="Followed Hyperlink" xfId="766"/>
    <cellStyle name="Плохой" xfId="767"/>
    <cellStyle name="Пояснение" xfId="768"/>
    <cellStyle name="Примечание" xfId="769"/>
    <cellStyle name="Примечание 10" xfId="770"/>
    <cellStyle name="Примечание 11" xfId="771"/>
    <cellStyle name="Примечание 12" xfId="772"/>
    <cellStyle name="Примечание 13" xfId="773"/>
    <cellStyle name="Примечание 14" xfId="774"/>
    <cellStyle name="Примечание 15" xfId="775"/>
    <cellStyle name="Примечание 16" xfId="776"/>
    <cellStyle name="Примечание 17" xfId="777"/>
    <cellStyle name="Примечание 18" xfId="778"/>
    <cellStyle name="Примечание 19" xfId="779"/>
    <cellStyle name="Примечание 2" xfId="780"/>
    <cellStyle name="Примечание 20" xfId="781"/>
    <cellStyle name="Примечание 21" xfId="782"/>
    <cellStyle name="Примечание 22" xfId="783"/>
    <cellStyle name="Примечание 23" xfId="784"/>
    <cellStyle name="Примечание 24" xfId="785"/>
    <cellStyle name="Примечание 25" xfId="786"/>
    <cellStyle name="Примечание 26" xfId="787"/>
    <cellStyle name="Примечание 27" xfId="788"/>
    <cellStyle name="Примечание 28" xfId="789"/>
    <cellStyle name="Примечание 29" xfId="790"/>
    <cellStyle name="Примечание 3" xfId="791"/>
    <cellStyle name="Примечание 30" xfId="792"/>
    <cellStyle name="Примечание 31" xfId="793"/>
    <cellStyle name="Примечание 4" xfId="794"/>
    <cellStyle name="Примечание 5" xfId="795"/>
    <cellStyle name="Примечание 6" xfId="796"/>
    <cellStyle name="Примечание 7" xfId="797"/>
    <cellStyle name="Примечание 8" xfId="798"/>
    <cellStyle name="Примечание 9" xfId="799"/>
    <cellStyle name="Percent" xfId="800"/>
    <cellStyle name="Свойства элементов измерения" xfId="801"/>
    <cellStyle name="Свойства элементов измерения [печать]" xfId="802"/>
    <cellStyle name="Свойства элементов измерения [печать] 10" xfId="803"/>
    <cellStyle name="Свойства элементов измерения [печать] 11" xfId="804"/>
    <cellStyle name="Свойства элементов измерения [печать] 12" xfId="805"/>
    <cellStyle name="Свойства элементов измерения [печать] 13" xfId="806"/>
    <cellStyle name="Свойства элементов измерения [печать] 14" xfId="807"/>
    <cellStyle name="Свойства элементов измерения [печать] 15" xfId="808"/>
    <cellStyle name="Свойства элементов измерения [печать] 16" xfId="809"/>
    <cellStyle name="Свойства элементов измерения [печать] 17" xfId="810"/>
    <cellStyle name="Свойства элементов измерения [печать] 18" xfId="811"/>
    <cellStyle name="Свойства элементов измерения [печать] 19" xfId="812"/>
    <cellStyle name="Свойства элементов измерения [печать] 2" xfId="813"/>
    <cellStyle name="Свойства элементов измерения [печать] 20" xfId="814"/>
    <cellStyle name="Свойства элементов измерения [печать] 21" xfId="815"/>
    <cellStyle name="Свойства элементов измерения [печать] 22" xfId="816"/>
    <cellStyle name="Свойства элементов измерения [печать] 23" xfId="817"/>
    <cellStyle name="Свойства элементов измерения [печать] 24" xfId="818"/>
    <cellStyle name="Свойства элементов измерения [печать] 25" xfId="819"/>
    <cellStyle name="Свойства элементов измерения [печать] 26" xfId="820"/>
    <cellStyle name="Свойства элементов измерения [печать] 27" xfId="821"/>
    <cellStyle name="Свойства элементов измерения [печать] 28" xfId="822"/>
    <cellStyle name="Свойства элементов измерения [печать] 29" xfId="823"/>
    <cellStyle name="Свойства элементов измерения [печать] 3" xfId="824"/>
    <cellStyle name="Свойства элементов измерения [печать] 30" xfId="825"/>
    <cellStyle name="Свойства элементов измерения [печать] 31" xfId="826"/>
    <cellStyle name="Свойства элементов измерения [печать] 32" xfId="827"/>
    <cellStyle name="Свойства элементов измерения [печать] 33" xfId="828"/>
    <cellStyle name="Свойства элементов измерения [печать] 4" xfId="829"/>
    <cellStyle name="Свойства элементов измерения [печать] 5" xfId="830"/>
    <cellStyle name="Свойства элементов измерения [печать] 6" xfId="831"/>
    <cellStyle name="Свойства элементов измерения [печать] 7" xfId="832"/>
    <cellStyle name="Свойства элементов измерения [печать] 8" xfId="833"/>
    <cellStyle name="Свойства элементов измерения [печать] 9" xfId="834"/>
    <cellStyle name="Связанная ячейка" xfId="835"/>
    <cellStyle name="Текст предупреждения" xfId="836"/>
    <cellStyle name="Comma" xfId="837"/>
    <cellStyle name="Comma [0]" xfId="838"/>
    <cellStyle name="Финансовый 2" xfId="839"/>
    <cellStyle name="Хороший" xfId="840"/>
    <cellStyle name="Элементы осей" xfId="841"/>
    <cellStyle name="Элементы осей [печать]" xfId="842"/>
    <cellStyle name="Элементы осей [печать] 10" xfId="843"/>
    <cellStyle name="Элементы осей [печать] 11" xfId="844"/>
    <cellStyle name="Элементы осей [печать] 12" xfId="845"/>
    <cellStyle name="Элементы осей [печать] 13" xfId="846"/>
    <cellStyle name="Элементы осей [печать] 14" xfId="847"/>
    <cellStyle name="Элементы осей [печать] 15" xfId="848"/>
    <cellStyle name="Элементы осей [печать] 16" xfId="849"/>
    <cellStyle name="Элементы осей [печать] 17" xfId="850"/>
    <cellStyle name="Элементы осей [печать] 18" xfId="851"/>
    <cellStyle name="Элементы осей [печать] 19" xfId="852"/>
    <cellStyle name="Элементы осей [печать] 2" xfId="853"/>
    <cellStyle name="Элементы осей [печать] 20" xfId="854"/>
    <cellStyle name="Элементы осей [печать] 21" xfId="855"/>
    <cellStyle name="Элементы осей [печать] 22" xfId="856"/>
    <cellStyle name="Элементы осей [печать] 23" xfId="857"/>
    <cellStyle name="Элементы осей [печать] 24" xfId="858"/>
    <cellStyle name="Элементы осей [печать] 25" xfId="859"/>
    <cellStyle name="Элементы осей [печать] 26" xfId="860"/>
    <cellStyle name="Элементы осей [печать] 27" xfId="861"/>
    <cellStyle name="Элементы осей [печать] 28" xfId="862"/>
    <cellStyle name="Элементы осей [печать] 29" xfId="863"/>
    <cellStyle name="Элементы осей [печать] 3" xfId="864"/>
    <cellStyle name="Элементы осей [печать] 30" xfId="865"/>
    <cellStyle name="Элементы осей [печать] 31" xfId="866"/>
    <cellStyle name="Элементы осей [печать] 32" xfId="867"/>
    <cellStyle name="Элементы осей [печать] 33" xfId="868"/>
    <cellStyle name="Элементы осей [печать] 4" xfId="869"/>
    <cellStyle name="Элементы осей [печать] 5" xfId="870"/>
    <cellStyle name="Элементы осей [печать] 6" xfId="871"/>
    <cellStyle name="Элементы осей [печать] 7" xfId="872"/>
    <cellStyle name="Элементы осей [печать] 8" xfId="873"/>
    <cellStyle name="Элементы осей [печать] 9" xfId="874"/>
    <cellStyle name="Элементы осей 10" xfId="875"/>
    <cellStyle name="Элементы осей 11" xfId="876"/>
    <cellStyle name="Элементы осей 12" xfId="877"/>
    <cellStyle name="Элементы осей 13" xfId="878"/>
    <cellStyle name="Элементы осей 14" xfId="879"/>
    <cellStyle name="Элементы осей 15" xfId="880"/>
    <cellStyle name="Элементы осей 16" xfId="881"/>
    <cellStyle name="Элементы осей 17" xfId="882"/>
    <cellStyle name="Элементы осей 18" xfId="883"/>
    <cellStyle name="Элементы осей 19" xfId="884"/>
    <cellStyle name="Элементы осей 2" xfId="885"/>
    <cellStyle name="Элементы осей 20" xfId="886"/>
    <cellStyle name="Элементы осей 21" xfId="887"/>
    <cellStyle name="Элементы осей 22" xfId="888"/>
    <cellStyle name="Элементы осей 23" xfId="889"/>
    <cellStyle name="Элементы осей 24" xfId="890"/>
    <cellStyle name="Элементы осей 25" xfId="891"/>
    <cellStyle name="Элементы осей 26" xfId="892"/>
    <cellStyle name="Элементы осей 27" xfId="893"/>
    <cellStyle name="Элементы осей 28" xfId="894"/>
    <cellStyle name="Элементы осей 29" xfId="895"/>
    <cellStyle name="Элементы осей 3" xfId="896"/>
    <cellStyle name="Элементы осей 30" xfId="897"/>
    <cellStyle name="Элементы осей 31" xfId="898"/>
    <cellStyle name="Элементы осей 32" xfId="899"/>
    <cellStyle name="Элементы осей 33" xfId="900"/>
    <cellStyle name="Элементы осей 4" xfId="901"/>
    <cellStyle name="Элементы осей 5" xfId="902"/>
    <cellStyle name="Элементы осей 6" xfId="903"/>
    <cellStyle name="Элементы осей 7" xfId="904"/>
    <cellStyle name="Элементы осей 8" xfId="905"/>
    <cellStyle name="Элементы осей 9" xfId="9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chartsheet" Target="chartsheets/sheet4.xml" /><Relationship Id="rId15" Type="http://schemas.openxmlformats.org/officeDocument/2006/relationships/worksheet" Target="worksheets/sheet1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297406"/>
        <c:crosses val="autoZero"/>
        <c:auto val="1"/>
        <c:lblOffset val="100"/>
        <c:tickLblSkip val="1"/>
        <c:noMultiLvlLbl val="0"/>
      </c:catAx>
      <c:valAx>
        <c:axId val="23297406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045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8350063"/>
        <c:axId val="8041704"/>
      </c:lineChart>
      <c:catAx>
        <c:axId val="835006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41704"/>
        <c:crosses val="autoZero"/>
        <c:auto val="1"/>
        <c:lblOffset val="100"/>
        <c:tickLblSkip val="1"/>
        <c:noMultiLvlLbl val="0"/>
      </c:catAx>
      <c:valAx>
        <c:axId val="8041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5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5125"/>
          <c:w val="0.474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01.07.2022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1325"/>
          <c:w val="0.815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01.07.2022'!$B$8:$B$32</c:f>
              <c:strCache>
                <c:ptCount val="25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  <c:pt idx="24">
                  <c:v>СРЕДНЯЯ ОЦЕНКА</c:v>
                </c:pt>
              </c:strCache>
            </c:strRef>
          </c:cat>
          <c:val>
            <c:numRef>
              <c:f>'РЕЙТИНГ на 01.07.2022'!$C$8:$C$32</c:f>
              <c:numCache>
                <c:ptCount val="25"/>
                <c:pt idx="0">
                  <c:v>18.401457279745927</c:v>
                </c:pt>
                <c:pt idx="1">
                  <c:v>22.517683615438692</c:v>
                </c:pt>
                <c:pt idx="2">
                  <c:v>19.59392088611659</c:v>
                </c:pt>
                <c:pt idx="3">
                  <c:v>18.263775429616274</c:v>
                </c:pt>
                <c:pt idx="4">
                  <c:v>21.333325333090805</c:v>
                </c:pt>
                <c:pt idx="5">
                  <c:v>18.296301890533776</c:v>
                </c:pt>
                <c:pt idx="6">
                  <c:v>19.261378016303183</c:v>
                </c:pt>
                <c:pt idx="7">
                  <c:v>23.11052104936164</c:v>
                </c:pt>
                <c:pt idx="8">
                  <c:v>20.59718656146832</c:v>
                </c:pt>
                <c:pt idx="9">
                  <c:v>19.929961252122613</c:v>
                </c:pt>
                <c:pt idx="10">
                  <c:v>18.71931378880727</c:v>
                </c:pt>
                <c:pt idx="11">
                  <c:v>19.421254173012553</c:v>
                </c:pt>
                <c:pt idx="12">
                  <c:v>19.936469834872888</c:v>
                </c:pt>
                <c:pt idx="13">
                  <c:v>19.745655138683098</c:v>
                </c:pt>
                <c:pt idx="14">
                  <c:v>20.246159551665624</c:v>
                </c:pt>
                <c:pt idx="15">
                  <c:v>21.062346268668662</c:v>
                </c:pt>
                <c:pt idx="16">
                  <c:v>18.226223481681874</c:v>
                </c:pt>
                <c:pt idx="17">
                  <c:v>18.58411595167133</c:v>
                </c:pt>
                <c:pt idx="18">
                  <c:v>19.03620212439573</c:v>
                </c:pt>
                <c:pt idx="19">
                  <c:v>19.6577111185727</c:v>
                </c:pt>
                <c:pt idx="20">
                  <c:v>20.67659638499995</c:v>
                </c:pt>
                <c:pt idx="21">
                  <c:v>21.3785140562249</c:v>
                </c:pt>
                <c:pt idx="22">
                  <c:v>20.86429874475359</c:v>
                </c:pt>
                <c:pt idx="23">
                  <c:v>20.896905490186573</c:v>
                </c:pt>
                <c:pt idx="24">
                  <c:v>19.989886559249772</c:v>
                </c:pt>
              </c:numCache>
            </c:numRef>
          </c:val>
        </c:ser>
        <c:axId val="5266473"/>
        <c:axId val="47398258"/>
      </c:barChart>
      <c:catAx>
        <c:axId val="526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66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3"/>
          <c:w val="0.9745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1.07.2022'!$G$1</c:f>
              <c:strCache>
                <c:ptCount val="1"/>
                <c:pt idx="0">
                  <c:v>Место в рейтинге на 01.07.2022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1.07.2022'!$G$2:$G$25</c:f>
              <c:numCache>
                <c:ptCount val="24"/>
                <c:pt idx="0">
                  <c:v>21</c:v>
                </c:pt>
                <c:pt idx="1">
                  <c:v>2</c:v>
                </c:pt>
                <c:pt idx="2">
                  <c:v>15</c:v>
                </c:pt>
                <c:pt idx="3">
                  <c:v>22</c:v>
                </c:pt>
                <c:pt idx="4">
                  <c:v>4</c:v>
                </c:pt>
                <c:pt idx="5">
                  <c:v>23</c:v>
                </c:pt>
                <c:pt idx="6">
                  <c:v>17</c:v>
                </c:pt>
                <c:pt idx="7">
                  <c:v>1</c:v>
                </c:pt>
                <c:pt idx="8">
                  <c:v>9</c:v>
                </c:pt>
                <c:pt idx="9">
                  <c:v>12</c:v>
                </c:pt>
                <c:pt idx="10">
                  <c:v>19</c:v>
                </c:pt>
                <c:pt idx="11">
                  <c:v>16</c:v>
                </c:pt>
                <c:pt idx="12">
                  <c:v>11</c:v>
                </c:pt>
                <c:pt idx="13">
                  <c:v>13</c:v>
                </c:pt>
                <c:pt idx="14">
                  <c:v>10</c:v>
                </c:pt>
                <c:pt idx="15">
                  <c:v>5</c:v>
                </c:pt>
                <c:pt idx="16">
                  <c:v>24</c:v>
                </c:pt>
                <c:pt idx="17">
                  <c:v>20</c:v>
                </c:pt>
                <c:pt idx="18">
                  <c:v>18</c:v>
                </c:pt>
                <c:pt idx="19">
                  <c:v>14</c:v>
                </c:pt>
                <c:pt idx="20">
                  <c:v>8</c:v>
                </c:pt>
                <c:pt idx="21">
                  <c:v>3</c:v>
                </c:pt>
                <c:pt idx="22">
                  <c:v>6</c:v>
                </c:pt>
                <c:pt idx="23">
                  <c:v>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1.07.2022'!$F$1</c:f>
              <c:strCache>
                <c:ptCount val="1"/>
                <c:pt idx="0">
                  <c:v>Место в рейтинге на 01.07.2021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1.07.2022'!$F$2:$F$25</c:f>
              <c:numCache>
                <c:ptCount val="24"/>
                <c:pt idx="0">
                  <c:v>7</c:v>
                </c:pt>
                <c:pt idx="1">
                  <c:v>2</c:v>
                </c:pt>
                <c:pt idx="2">
                  <c:v>12</c:v>
                </c:pt>
                <c:pt idx="3">
                  <c:v>10</c:v>
                </c:pt>
                <c:pt idx="4">
                  <c:v>6</c:v>
                </c:pt>
                <c:pt idx="5">
                  <c:v>20</c:v>
                </c:pt>
                <c:pt idx="6">
                  <c:v>21</c:v>
                </c:pt>
                <c:pt idx="7">
                  <c:v>4</c:v>
                </c:pt>
                <c:pt idx="8">
                  <c:v>16</c:v>
                </c:pt>
                <c:pt idx="9">
                  <c:v>18</c:v>
                </c:pt>
                <c:pt idx="10">
                  <c:v>9</c:v>
                </c:pt>
                <c:pt idx="11">
                  <c:v>23</c:v>
                </c:pt>
                <c:pt idx="12">
                  <c:v>22</c:v>
                </c:pt>
                <c:pt idx="13">
                  <c:v>19</c:v>
                </c:pt>
                <c:pt idx="14">
                  <c:v>15</c:v>
                </c:pt>
                <c:pt idx="15">
                  <c:v>8</c:v>
                </c:pt>
                <c:pt idx="16">
                  <c:v>24</c:v>
                </c:pt>
                <c:pt idx="17">
                  <c:v>11</c:v>
                </c:pt>
                <c:pt idx="18">
                  <c:v>17</c:v>
                </c:pt>
                <c:pt idx="19">
                  <c:v>3</c:v>
                </c:pt>
                <c:pt idx="20">
                  <c:v>1</c:v>
                </c:pt>
                <c:pt idx="21">
                  <c:v>13</c:v>
                </c:pt>
                <c:pt idx="22">
                  <c:v>14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23931139"/>
        <c:axId val="14053660"/>
      </c:lineChart>
      <c:catAx>
        <c:axId val="2393113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31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0.257</cdr:y>
    </cdr:from>
    <cdr:to>
      <cdr:x>0.9925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0" y="1457325"/>
          <a:ext cx="847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0.0425</cdr:x>
      <cdr:y>0.4055</cdr:y>
    </cdr:from>
    <cdr:to>
      <cdr:x>0.06775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3812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0.25825</cdr:y>
    </cdr:from>
    <cdr:to>
      <cdr:x>0.99075</cdr:x>
      <cdr:y>0.3455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296275" y="1466850"/>
          <a:ext cx="914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20,0</a:t>
          </a:r>
        </a:p>
      </cdr:txBody>
    </cdr:sp>
  </cdr:relSizeAnchor>
  <cdr:relSizeAnchor xmlns:cdr="http://schemas.openxmlformats.org/drawingml/2006/chartDrawing">
    <cdr:from>
      <cdr:x>0.0395</cdr:x>
      <cdr:y>0.40675</cdr:y>
    </cdr:from>
    <cdr:to>
      <cdr:x>0.06275</cdr:x>
      <cdr:y>0.526</cdr:y>
    </cdr:to>
    <cdr:sp>
      <cdr:nvSpPr>
        <cdr:cNvPr id="2" name="Rectangle 2"/>
        <cdr:cNvSpPr>
          <a:spLocks/>
        </cdr:cNvSpPr>
      </cdr:nvSpPr>
      <cdr:spPr>
        <a:xfrm>
          <a:off x="361950" y="2314575"/>
          <a:ext cx="21907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pineva\Desktop\&#1054;&#1094;&#1077;&#1085;&#1082;&#1072;%20&#1082;&#1072;&#1095;.%20&#1052;&#1060;%202019%20-2018\&#1054;&#1094;.%20&#1082;&#1072;&#1095;.%20&#1087;&#1086;&#1089;&#1077;&#1083;&#1077;&#1085;&#1080;&#1103;%202018%20-%202019\&#1054;&#1094;.%20&#1082;&#1072;&#1095;.&#1079;&#1072;%201%20&#1082;&#1074;.%202018%20-%20&#1087;&#1086;&#1083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за 2013 год  правда"/>
      <sheetName val="Снижение -повышение "/>
      <sheetName val="ИТОГ на 1.01.2014"/>
      <sheetName val="Диаграмма1 итоги 2013"/>
      <sheetName val="Диаграмма 2 динамика "/>
      <sheetName val="Оценка за 2013 год"/>
      <sheetName val="Снижение -повышение  (2)"/>
      <sheetName val="1 квартал 2018 (алфавит) "/>
      <sheetName val="1 квартал 2018 (рейтинг)"/>
      <sheetName val="Показатель Р1 (2)"/>
      <sheetName val="ДИНАМИКА на  1.04.2018"/>
      <sheetName val="РЕЙТИНГ на 01.04.2018"/>
      <sheetName val="Диаграмма1 итоги 1 квартал 2018"/>
      <sheetName val="Диаграмма 2 динамика 1 кв.2018"/>
      <sheetName val="Оценка за 2013 год по алфавиту)"/>
      <sheetName val="Оценка за 2013 год  посл. (2)"/>
    </sheetNames>
    <sheetDataSet>
      <sheetData sheetId="10">
        <row r="2">
          <cell r="B2" t="str">
            <v>Андреевское </v>
          </cell>
        </row>
        <row r="3">
          <cell r="B3" t="str">
            <v>Ачаирское </v>
          </cell>
        </row>
        <row r="4">
          <cell r="B4" t="str">
            <v>Богословское </v>
          </cell>
        </row>
        <row r="5">
          <cell r="B5" t="str">
            <v>Дружинское</v>
          </cell>
        </row>
        <row r="6">
          <cell r="B6" t="str">
            <v>Иртышское </v>
          </cell>
        </row>
        <row r="7">
          <cell r="B7" t="str">
            <v>Калининское </v>
          </cell>
        </row>
        <row r="8">
          <cell r="B8" t="str">
            <v>Ключевское</v>
          </cell>
        </row>
        <row r="9">
          <cell r="B9" t="str">
            <v>Комсомольское </v>
          </cell>
        </row>
        <row r="10">
          <cell r="B10" t="str">
            <v>Красноярское </v>
          </cell>
        </row>
        <row r="11">
          <cell r="B11" t="str">
            <v>Лузинское </v>
          </cell>
        </row>
        <row r="12">
          <cell r="B12" t="str">
            <v>Магистральное </v>
          </cell>
        </row>
        <row r="13">
          <cell r="B13" t="str">
            <v>Морозовское </v>
          </cell>
        </row>
        <row r="14">
          <cell r="B14" t="str">
            <v>Надеждинское </v>
          </cell>
        </row>
        <row r="15">
          <cell r="B15" t="str">
            <v>Новоомское </v>
          </cell>
        </row>
        <row r="16">
          <cell r="B16" t="str">
            <v>Новотроицкое </v>
          </cell>
        </row>
        <row r="17">
          <cell r="B17" t="str">
            <v>Омское </v>
          </cell>
        </row>
        <row r="18">
          <cell r="B18" t="str">
            <v>Петровское </v>
          </cell>
        </row>
        <row r="19">
          <cell r="B19" t="str">
            <v>Покровское </v>
          </cell>
        </row>
        <row r="20">
          <cell r="B20" t="str">
            <v>Пушкинское </v>
          </cell>
        </row>
        <row r="21">
          <cell r="B21" t="str">
            <v>Розовское </v>
          </cell>
        </row>
        <row r="22">
          <cell r="B22" t="str">
            <v>Ростовкинское </v>
          </cell>
        </row>
        <row r="23">
          <cell r="B23" t="str">
            <v>Троицкое </v>
          </cell>
        </row>
        <row r="24">
          <cell r="B24" t="str">
            <v>Усть-Заостровское </v>
          </cell>
        </row>
        <row r="25">
          <cell r="B25" t="str">
            <v>Чернолучинское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700" t="s">
        <v>1</v>
      </c>
      <c r="B4" s="703" t="s">
        <v>2</v>
      </c>
      <c r="C4" s="650" t="s">
        <v>3</v>
      </c>
      <c r="D4" s="662"/>
      <c r="E4" s="650" t="s">
        <v>4</v>
      </c>
      <c r="F4" s="712"/>
      <c r="G4" s="660" t="s">
        <v>5</v>
      </c>
      <c r="H4" s="664"/>
      <c r="I4" s="664"/>
      <c r="J4" s="648"/>
      <c r="K4" s="650" t="s">
        <v>6</v>
      </c>
      <c r="L4" s="664"/>
      <c r="M4" s="664"/>
      <c r="N4" s="662"/>
      <c r="O4" s="650" t="s">
        <v>7</v>
      </c>
      <c r="P4" s="664"/>
      <c r="Q4" s="664"/>
      <c r="R4" s="662"/>
      <c r="S4" s="650" t="s">
        <v>8</v>
      </c>
      <c r="T4" s="664"/>
      <c r="U4" s="664"/>
      <c r="V4" s="662"/>
      <c r="W4" s="650" t="s">
        <v>9</v>
      </c>
      <c r="X4" s="664"/>
      <c r="Y4" s="664"/>
      <c r="Z4" s="662"/>
      <c r="AA4" s="650" t="s">
        <v>150</v>
      </c>
      <c r="AB4" s="664"/>
      <c r="AC4" s="664"/>
      <c r="AD4" s="662"/>
      <c r="AE4" s="650" t="s">
        <v>10</v>
      </c>
      <c r="AF4" s="664"/>
      <c r="AG4" s="664"/>
      <c r="AH4" s="664"/>
      <c r="AI4" s="662"/>
      <c r="AJ4" s="650" t="s">
        <v>11</v>
      </c>
      <c r="AK4" s="664"/>
      <c r="AL4" s="664"/>
      <c r="AM4" s="648"/>
      <c r="AN4" s="654" t="s">
        <v>12</v>
      </c>
      <c r="AO4" s="654"/>
      <c r="AP4" s="654"/>
      <c r="AQ4" s="654"/>
      <c r="AR4" s="5"/>
      <c r="AS4" s="5"/>
      <c r="AT4" s="664" t="s">
        <v>13</v>
      </c>
      <c r="AU4" s="664"/>
      <c r="AV4" s="664"/>
      <c r="AW4" s="664"/>
      <c r="AX4" s="664" t="s">
        <v>14</v>
      </c>
      <c r="AY4" s="664"/>
      <c r="AZ4" s="664"/>
      <c r="BA4" s="664"/>
      <c r="BB4" s="664"/>
      <c r="BC4" s="715" t="s">
        <v>15</v>
      </c>
      <c r="BD4" s="715"/>
      <c r="BE4" s="715"/>
      <c r="BF4" s="715"/>
      <c r="BG4" s="6"/>
      <c r="BH4" s="7"/>
      <c r="BI4" s="7"/>
      <c r="BJ4" s="664" t="s">
        <v>16</v>
      </c>
      <c r="BK4" s="664"/>
      <c r="BL4" s="664"/>
      <c r="BM4" s="664"/>
      <c r="BN4" s="664" t="s">
        <v>17</v>
      </c>
      <c r="BO4" s="664"/>
      <c r="BP4" s="664"/>
      <c r="BQ4" s="664"/>
      <c r="BR4" s="664"/>
      <c r="BS4" s="685" t="s">
        <v>18</v>
      </c>
      <c r="BT4" s="685"/>
      <c r="BU4" s="685"/>
      <c r="BV4" s="664" t="s">
        <v>19</v>
      </c>
      <c r="BW4" s="648"/>
      <c r="BX4" s="650" t="s">
        <v>20</v>
      </c>
      <c r="BY4" s="664"/>
      <c r="BZ4" s="664"/>
      <c r="CA4" s="664"/>
      <c r="CB4" s="664"/>
      <c r="CC4" s="664"/>
      <c r="CD4" s="664"/>
      <c r="CE4" s="664"/>
      <c r="CF4" s="664"/>
      <c r="CG4" s="664"/>
      <c r="CH4" s="664"/>
      <c r="CI4" s="664"/>
      <c r="CJ4" s="664"/>
      <c r="CK4" s="664"/>
      <c r="CL4" s="664"/>
      <c r="CM4" s="662"/>
      <c r="CN4" s="660" t="s">
        <v>21</v>
      </c>
      <c r="CO4" s="664"/>
      <c r="CP4" s="664"/>
      <c r="CQ4" s="664"/>
      <c r="CR4" s="664"/>
      <c r="CS4" s="664"/>
      <c r="CT4" s="664"/>
      <c r="CU4" s="664"/>
      <c r="CV4" s="664"/>
      <c r="CW4" s="664"/>
      <c r="CX4" s="664"/>
      <c r="CY4" s="664"/>
      <c r="CZ4" s="664"/>
      <c r="DA4" s="648"/>
      <c r="DB4" s="650" t="s">
        <v>22</v>
      </c>
      <c r="DC4" s="664"/>
      <c r="DD4" s="664"/>
      <c r="DE4" s="664"/>
      <c r="DF4" s="664"/>
      <c r="DG4" s="664"/>
      <c r="DH4" s="664"/>
      <c r="DI4" s="664"/>
      <c r="DJ4" s="664"/>
      <c r="DK4" s="664"/>
      <c r="DL4" s="664"/>
      <c r="DM4" s="662"/>
      <c r="DN4" s="650" t="s">
        <v>23</v>
      </c>
      <c r="DO4" s="662"/>
      <c r="DP4" s="650" t="s">
        <v>24</v>
      </c>
      <c r="DQ4" s="662"/>
      <c r="DR4" s="660" t="s">
        <v>25</v>
      </c>
      <c r="DS4" s="648"/>
      <c r="DT4" s="664" t="s">
        <v>26</v>
      </c>
      <c r="DU4" s="664"/>
      <c r="DV4" s="662"/>
      <c r="DW4" s="650" t="s">
        <v>27</v>
      </c>
      <c r="DX4" s="664"/>
      <c r="DY4" s="662"/>
      <c r="DZ4" s="660" t="s">
        <v>28</v>
      </c>
      <c r="EA4" s="664"/>
      <c r="EB4" s="664"/>
      <c r="EC4" s="664" t="s">
        <v>29</v>
      </c>
      <c r="ED4" s="664"/>
      <c r="EE4" s="664"/>
      <c r="EF4" s="664" t="s">
        <v>30</v>
      </c>
      <c r="EG4" s="664"/>
      <c r="EH4" s="648"/>
      <c r="EI4" s="650" t="s">
        <v>31</v>
      </c>
      <c r="EJ4" s="664"/>
      <c r="EK4" s="662"/>
      <c r="EL4" s="719" t="s">
        <v>160</v>
      </c>
      <c r="EM4" s="720"/>
      <c r="EN4" s="650" t="s">
        <v>32</v>
      </c>
      <c r="EO4" s="664"/>
      <c r="EP4" s="664"/>
      <c r="EQ4" s="662"/>
    </row>
    <row r="5" spans="1:147" s="11" customFormat="1" ht="15.75">
      <c r="A5" s="701"/>
      <c r="B5" s="704"/>
      <c r="C5" s="665"/>
      <c r="D5" s="667"/>
      <c r="E5" s="701"/>
      <c r="F5" s="713"/>
      <c r="G5" s="681"/>
      <c r="H5" s="666"/>
      <c r="I5" s="666"/>
      <c r="J5" s="677"/>
      <c r="K5" s="665"/>
      <c r="L5" s="666"/>
      <c r="M5" s="666"/>
      <c r="N5" s="667"/>
      <c r="O5" s="665"/>
      <c r="P5" s="666"/>
      <c r="Q5" s="666"/>
      <c r="R5" s="667"/>
      <c r="S5" s="665"/>
      <c r="T5" s="666"/>
      <c r="U5" s="666"/>
      <c r="V5" s="667"/>
      <c r="W5" s="665"/>
      <c r="X5" s="666"/>
      <c r="Y5" s="666"/>
      <c r="Z5" s="667"/>
      <c r="AA5" s="665"/>
      <c r="AB5" s="666"/>
      <c r="AC5" s="666"/>
      <c r="AD5" s="667"/>
      <c r="AE5" s="665"/>
      <c r="AF5" s="666"/>
      <c r="AG5" s="666"/>
      <c r="AH5" s="666"/>
      <c r="AI5" s="667"/>
      <c r="AJ5" s="665"/>
      <c r="AK5" s="666"/>
      <c r="AL5" s="666"/>
      <c r="AM5" s="677"/>
      <c r="AN5" s="718"/>
      <c r="AO5" s="718"/>
      <c r="AP5" s="718"/>
      <c r="AQ5" s="718"/>
      <c r="AR5" s="8"/>
      <c r="AS5" s="8"/>
      <c r="AT5" s="666"/>
      <c r="AU5" s="666"/>
      <c r="AV5" s="666"/>
      <c r="AW5" s="666"/>
      <c r="AX5" s="666"/>
      <c r="AY5" s="666"/>
      <c r="AZ5" s="666"/>
      <c r="BA5" s="666"/>
      <c r="BB5" s="666"/>
      <c r="BC5" s="716"/>
      <c r="BD5" s="716"/>
      <c r="BE5" s="716"/>
      <c r="BF5" s="716"/>
      <c r="BG5" s="9"/>
      <c r="BH5" s="10"/>
      <c r="BI5" s="10"/>
      <c r="BJ5" s="666"/>
      <c r="BK5" s="666"/>
      <c r="BL5" s="666"/>
      <c r="BM5" s="666"/>
      <c r="BN5" s="666"/>
      <c r="BO5" s="666"/>
      <c r="BP5" s="666"/>
      <c r="BQ5" s="666"/>
      <c r="BR5" s="666"/>
      <c r="BS5" s="686"/>
      <c r="BT5" s="686"/>
      <c r="BU5" s="686"/>
      <c r="BV5" s="666"/>
      <c r="BW5" s="677"/>
      <c r="BX5" s="665"/>
      <c r="BY5" s="666"/>
      <c r="BZ5" s="666"/>
      <c r="CA5" s="666"/>
      <c r="CB5" s="666"/>
      <c r="CC5" s="666"/>
      <c r="CD5" s="666"/>
      <c r="CE5" s="666"/>
      <c r="CF5" s="666"/>
      <c r="CG5" s="666"/>
      <c r="CH5" s="666"/>
      <c r="CI5" s="666"/>
      <c r="CJ5" s="666"/>
      <c r="CK5" s="666"/>
      <c r="CL5" s="666"/>
      <c r="CM5" s="667"/>
      <c r="CN5" s="681"/>
      <c r="CO5" s="666"/>
      <c r="CP5" s="666"/>
      <c r="CQ5" s="666"/>
      <c r="CR5" s="666"/>
      <c r="CS5" s="666"/>
      <c r="CT5" s="666"/>
      <c r="CU5" s="666"/>
      <c r="CV5" s="666"/>
      <c r="CW5" s="666"/>
      <c r="CX5" s="666"/>
      <c r="CY5" s="666"/>
      <c r="CZ5" s="666"/>
      <c r="DA5" s="677"/>
      <c r="DB5" s="665"/>
      <c r="DC5" s="666"/>
      <c r="DD5" s="666"/>
      <c r="DE5" s="666"/>
      <c r="DF5" s="666"/>
      <c r="DG5" s="666"/>
      <c r="DH5" s="666"/>
      <c r="DI5" s="666"/>
      <c r="DJ5" s="666"/>
      <c r="DK5" s="666"/>
      <c r="DL5" s="666"/>
      <c r="DM5" s="667"/>
      <c r="DN5" s="665"/>
      <c r="DO5" s="667"/>
      <c r="DP5" s="665"/>
      <c r="DQ5" s="667"/>
      <c r="DR5" s="681"/>
      <c r="DS5" s="677"/>
      <c r="DT5" s="666"/>
      <c r="DU5" s="666"/>
      <c r="DV5" s="667"/>
      <c r="DW5" s="665"/>
      <c r="DX5" s="666"/>
      <c r="DY5" s="667"/>
      <c r="DZ5" s="681"/>
      <c r="EA5" s="666"/>
      <c r="EB5" s="666"/>
      <c r="EC5" s="666"/>
      <c r="ED5" s="666"/>
      <c r="EE5" s="666"/>
      <c r="EF5" s="666"/>
      <c r="EG5" s="666"/>
      <c r="EH5" s="677"/>
      <c r="EI5" s="665"/>
      <c r="EJ5" s="666"/>
      <c r="EK5" s="667"/>
      <c r="EL5" s="721"/>
      <c r="EM5" s="722"/>
      <c r="EN5" s="665"/>
      <c r="EO5" s="666"/>
      <c r="EP5" s="666"/>
      <c r="EQ5" s="667"/>
    </row>
    <row r="6" spans="1:147" s="16" customFormat="1" ht="153" customHeight="1" thickBot="1">
      <c r="A6" s="701"/>
      <c r="B6" s="704"/>
      <c r="C6" s="668"/>
      <c r="D6" s="663"/>
      <c r="E6" s="702"/>
      <c r="F6" s="714"/>
      <c r="G6" s="661"/>
      <c r="H6" s="669"/>
      <c r="I6" s="669"/>
      <c r="J6" s="649"/>
      <c r="K6" s="668"/>
      <c r="L6" s="669"/>
      <c r="M6" s="669"/>
      <c r="N6" s="663"/>
      <c r="O6" s="668"/>
      <c r="P6" s="669"/>
      <c r="Q6" s="669"/>
      <c r="R6" s="663"/>
      <c r="S6" s="668"/>
      <c r="T6" s="669"/>
      <c r="U6" s="669"/>
      <c r="V6" s="663"/>
      <c r="W6" s="668"/>
      <c r="X6" s="669"/>
      <c r="Y6" s="669"/>
      <c r="Z6" s="663"/>
      <c r="AA6" s="668"/>
      <c r="AB6" s="669"/>
      <c r="AC6" s="669"/>
      <c r="AD6" s="663"/>
      <c r="AE6" s="668"/>
      <c r="AF6" s="669"/>
      <c r="AG6" s="669"/>
      <c r="AH6" s="669"/>
      <c r="AI6" s="663"/>
      <c r="AJ6" s="668"/>
      <c r="AK6" s="669"/>
      <c r="AL6" s="669"/>
      <c r="AM6" s="649"/>
      <c r="AN6" s="655"/>
      <c r="AO6" s="655"/>
      <c r="AP6" s="655"/>
      <c r="AQ6" s="655"/>
      <c r="AR6" s="13"/>
      <c r="AS6" s="13"/>
      <c r="AT6" s="669"/>
      <c r="AU6" s="669"/>
      <c r="AV6" s="669"/>
      <c r="AW6" s="669"/>
      <c r="AX6" s="669"/>
      <c r="AY6" s="669"/>
      <c r="AZ6" s="669"/>
      <c r="BA6" s="669"/>
      <c r="BB6" s="669"/>
      <c r="BC6" s="717"/>
      <c r="BD6" s="717"/>
      <c r="BE6" s="717"/>
      <c r="BF6" s="717"/>
      <c r="BG6" s="14"/>
      <c r="BH6" s="15"/>
      <c r="BI6" s="15"/>
      <c r="BJ6" s="669"/>
      <c r="BK6" s="669"/>
      <c r="BL6" s="669"/>
      <c r="BM6" s="669"/>
      <c r="BN6" s="669"/>
      <c r="BO6" s="669"/>
      <c r="BP6" s="669"/>
      <c r="BQ6" s="669"/>
      <c r="BR6" s="669"/>
      <c r="BS6" s="687"/>
      <c r="BT6" s="687"/>
      <c r="BU6" s="687"/>
      <c r="BV6" s="669"/>
      <c r="BW6" s="649"/>
      <c r="BX6" s="668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69"/>
      <c r="CM6" s="663"/>
      <c r="CN6" s="661"/>
      <c r="CO6" s="669"/>
      <c r="CP6" s="669"/>
      <c r="CQ6" s="669"/>
      <c r="CR6" s="669"/>
      <c r="CS6" s="669"/>
      <c r="CT6" s="669"/>
      <c r="CU6" s="669"/>
      <c r="CV6" s="669"/>
      <c r="CW6" s="669"/>
      <c r="CX6" s="669"/>
      <c r="CY6" s="669"/>
      <c r="CZ6" s="669"/>
      <c r="DA6" s="649"/>
      <c r="DB6" s="668"/>
      <c r="DC6" s="669"/>
      <c r="DD6" s="669"/>
      <c r="DE6" s="669"/>
      <c r="DF6" s="669"/>
      <c r="DG6" s="669"/>
      <c r="DH6" s="669"/>
      <c r="DI6" s="669"/>
      <c r="DJ6" s="669"/>
      <c r="DK6" s="669"/>
      <c r="DL6" s="669"/>
      <c r="DM6" s="663"/>
      <c r="DN6" s="668"/>
      <c r="DO6" s="663"/>
      <c r="DP6" s="668"/>
      <c r="DQ6" s="663"/>
      <c r="DR6" s="661"/>
      <c r="DS6" s="649"/>
      <c r="DT6" s="669"/>
      <c r="DU6" s="669"/>
      <c r="DV6" s="663"/>
      <c r="DW6" s="668"/>
      <c r="DX6" s="669"/>
      <c r="DY6" s="663"/>
      <c r="DZ6" s="661"/>
      <c r="EA6" s="669"/>
      <c r="EB6" s="669"/>
      <c r="EC6" s="669"/>
      <c r="ED6" s="669"/>
      <c r="EE6" s="669"/>
      <c r="EF6" s="669"/>
      <c r="EG6" s="669"/>
      <c r="EH6" s="649"/>
      <c r="EI6" s="668"/>
      <c r="EJ6" s="669"/>
      <c r="EK6" s="663"/>
      <c r="EL6" s="723"/>
      <c r="EM6" s="724"/>
      <c r="EN6" s="665"/>
      <c r="EO6" s="666"/>
      <c r="EP6" s="666"/>
      <c r="EQ6" s="667"/>
    </row>
    <row r="7" spans="1:147" s="16" customFormat="1" ht="16.5" thickBot="1">
      <c r="A7" s="701"/>
      <c r="B7" s="704"/>
      <c r="C7" s="670" t="s">
        <v>33</v>
      </c>
      <c r="D7" s="672"/>
      <c r="E7" s="670" t="s">
        <v>34</v>
      </c>
      <c r="F7" s="672"/>
      <c r="G7" s="682" t="s">
        <v>35</v>
      </c>
      <c r="H7" s="671"/>
      <c r="I7" s="671"/>
      <c r="J7" s="678"/>
      <c r="K7" s="670" t="s">
        <v>36</v>
      </c>
      <c r="L7" s="671"/>
      <c r="M7" s="671"/>
      <c r="N7" s="672"/>
      <c r="O7" s="670" t="s">
        <v>37</v>
      </c>
      <c r="P7" s="671"/>
      <c r="Q7" s="671"/>
      <c r="R7" s="672"/>
      <c r="S7" s="670" t="s">
        <v>38</v>
      </c>
      <c r="T7" s="671"/>
      <c r="U7" s="671"/>
      <c r="V7" s="672"/>
      <c r="W7" s="670" t="s">
        <v>39</v>
      </c>
      <c r="X7" s="671"/>
      <c r="Y7" s="671"/>
      <c r="Z7" s="672"/>
      <c r="AA7" s="670" t="s">
        <v>40</v>
      </c>
      <c r="AB7" s="671"/>
      <c r="AC7" s="671"/>
      <c r="AD7" s="672"/>
      <c r="AE7" s="670" t="s">
        <v>41</v>
      </c>
      <c r="AF7" s="671"/>
      <c r="AG7" s="671"/>
      <c r="AH7" s="671"/>
      <c r="AI7" s="672"/>
      <c r="AJ7" s="670" t="s">
        <v>42</v>
      </c>
      <c r="AK7" s="671"/>
      <c r="AL7" s="671"/>
      <c r="AM7" s="678"/>
      <c r="AN7" s="690" t="s">
        <v>43</v>
      </c>
      <c r="AO7" s="690"/>
      <c r="AP7" s="690"/>
      <c r="AQ7" s="690"/>
      <c r="AR7" s="17"/>
      <c r="AS7" s="17"/>
      <c r="AT7" s="671" t="s">
        <v>44</v>
      </c>
      <c r="AU7" s="671"/>
      <c r="AV7" s="671"/>
      <c r="AW7" s="671"/>
      <c r="AX7" s="671" t="s">
        <v>45</v>
      </c>
      <c r="AY7" s="671"/>
      <c r="AZ7" s="671"/>
      <c r="BA7" s="671"/>
      <c r="BB7" s="671"/>
      <c r="BC7" s="671" t="s">
        <v>46</v>
      </c>
      <c r="BD7" s="671"/>
      <c r="BE7" s="671"/>
      <c r="BF7" s="671"/>
      <c r="BG7" s="18"/>
      <c r="BH7" s="19"/>
      <c r="BI7" s="19"/>
      <c r="BJ7" s="671" t="s">
        <v>47</v>
      </c>
      <c r="BK7" s="671"/>
      <c r="BL7" s="671"/>
      <c r="BM7" s="671"/>
      <c r="BN7" s="683" t="s">
        <v>48</v>
      </c>
      <c r="BO7" s="683"/>
      <c r="BP7" s="683"/>
      <c r="BQ7" s="683"/>
      <c r="BR7" s="683"/>
      <c r="BS7" s="671" t="s">
        <v>49</v>
      </c>
      <c r="BT7" s="671"/>
      <c r="BU7" s="671"/>
      <c r="BV7" s="671" t="s">
        <v>50</v>
      </c>
      <c r="BW7" s="678"/>
      <c r="BX7" s="670" t="s">
        <v>51</v>
      </c>
      <c r="BY7" s="671"/>
      <c r="BZ7" s="671"/>
      <c r="CA7" s="671"/>
      <c r="CB7" s="671"/>
      <c r="CC7" s="671"/>
      <c r="CD7" s="671"/>
      <c r="CE7" s="671"/>
      <c r="CF7" s="671"/>
      <c r="CG7" s="671"/>
      <c r="CH7" s="671"/>
      <c r="CI7" s="671"/>
      <c r="CJ7" s="671"/>
      <c r="CK7" s="671"/>
      <c r="CL7" s="671"/>
      <c r="CM7" s="672"/>
      <c r="CN7" s="682" t="s">
        <v>52</v>
      </c>
      <c r="CO7" s="671"/>
      <c r="CP7" s="671"/>
      <c r="CQ7" s="671"/>
      <c r="CR7" s="671"/>
      <c r="CS7" s="671"/>
      <c r="CT7" s="671"/>
      <c r="CU7" s="671"/>
      <c r="CV7" s="671"/>
      <c r="CW7" s="671"/>
      <c r="CX7" s="671"/>
      <c r="CY7" s="671"/>
      <c r="CZ7" s="671"/>
      <c r="DA7" s="678"/>
      <c r="DB7" s="670" t="s">
        <v>53</v>
      </c>
      <c r="DC7" s="671"/>
      <c r="DD7" s="671"/>
      <c r="DE7" s="671"/>
      <c r="DF7" s="671"/>
      <c r="DG7" s="671"/>
      <c r="DH7" s="671"/>
      <c r="DI7" s="671"/>
      <c r="DJ7" s="671"/>
      <c r="DK7" s="671"/>
      <c r="DL7" s="671"/>
      <c r="DM7" s="672"/>
      <c r="DN7" s="670" t="s">
        <v>54</v>
      </c>
      <c r="DO7" s="672"/>
      <c r="DP7" s="670" t="s">
        <v>55</v>
      </c>
      <c r="DQ7" s="672"/>
      <c r="DR7" s="682" t="s">
        <v>56</v>
      </c>
      <c r="DS7" s="678"/>
      <c r="DT7" s="671" t="s">
        <v>57</v>
      </c>
      <c r="DU7" s="671"/>
      <c r="DV7" s="672"/>
      <c r="DW7" s="670" t="s">
        <v>58</v>
      </c>
      <c r="DX7" s="671"/>
      <c r="DY7" s="672"/>
      <c r="DZ7" s="682" t="s">
        <v>59</v>
      </c>
      <c r="EA7" s="671"/>
      <c r="EB7" s="671"/>
      <c r="EC7" s="671" t="s">
        <v>60</v>
      </c>
      <c r="ED7" s="671"/>
      <c r="EE7" s="671"/>
      <c r="EF7" s="671" t="s">
        <v>61</v>
      </c>
      <c r="EG7" s="671"/>
      <c r="EH7" s="678"/>
      <c r="EI7" s="670" t="s">
        <v>63</v>
      </c>
      <c r="EJ7" s="671"/>
      <c r="EK7" s="672"/>
      <c r="EL7" s="725" t="s">
        <v>62</v>
      </c>
      <c r="EM7" s="726"/>
      <c r="EN7" s="651"/>
      <c r="EO7" s="684"/>
      <c r="EP7" s="684"/>
      <c r="EQ7" s="706"/>
    </row>
    <row r="8" spans="1:147" s="16" customFormat="1" ht="111.75" customHeight="1" thickBot="1">
      <c r="A8" s="701"/>
      <c r="B8" s="704"/>
      <c r="C8" s="650" t="s">
        <v>64</v>
      </c>
      <c r="D8" s="697" t="s">
        <v>65</v>
      </c>
      <c r="E8" s="650" t="s">
        <v>64</v>
      </c>
      <c r="F8" s="697" t="s">
        <v>65</v>
      </c>
      <c r="G8" s="660" t="s">
        <v>66</v>
      </c>
      <c r="H8" s="664" t="s">
        <v>67</v>
      </c>
      <c r="I8" s="664" t="s">
        <v>64</v>
      </c>
      <c r="J8" s="694" t="s">
        <v>65</v>
      </c>
      <c r="K8" s="650" t="s">
        <v>67</v>
      </c>
      <c r="L8" s="664" t="s">
        <v>68</v>
      </c>
      <c r="M8" s="664" t="s">
        <v>64</v>
      </c>
      <c r="N8" s="697" t="s">
        <v>65</v>
      </c>
      <c r="O8" s="650" t="s">
        <v>67</v>
      </c>
      <c r="P8" s="664" t="s">
        <v>69</v>
      </c>
      <c r="Q8" s="664" t="s">
        <v>64</v>
      </c>
      <c r="R8" s="697" t="s">
        <v>65</v>
      </c>
      <c r="S8" s="650" t="s">
        <v>70</v>
      </c>
      <c r="T8" s="664" t="s">
        <v>71</v>
      </c>
      <c r="U8" s="664" t="s">
        <v>64</v>
      </c>
      <c r="V8" s="697" t="s">
        <v>65</v>
      </c>
      <c r="W8" s="650" t="s">
        <v>72</v>
      </c>
      <c r="X8" s="664" t="s">
        <v>73</v>
      </c>
      <c r="Y8" s="664" t="s">
        <v>64</v>
      </c>
      <c r="Z8" s="697" t="s">
        <v>65</v>
      </c>
      <c r="AA8" s="650" t="s">
        <v>74</v>
      </c>
      <c r="AB8" s="664" t="s">
        <v>75</v>
      </c>
      <c r="AC8" s="664" t="s">
        <v>64</v>
      </c>
      <c r="AD8" s="697" t="s">
        <v>65</v>
      </c>
      <c r="AE8" s="650" t="s">
        <v>76</v>
      </c>
      <c r="AF8" s="664" t="s">
        <v>77</v>
      </c>
      <c r="AG8" s="664" t="s">
        <v>78</v>
      </c>
      <c r="AH8" s="664" t="s">
        <v>64</v>
      </c>
      <c r="AI8" s="697" t="s">
        <v>65</v>
      </c>
      <c r="AJ8" s="650" t="s">
        <v>154</v>
      </c>
      <c r="AK8" s="664" t="s">
        <v>155</v>
      </c>
      <c r="AL8" s="664" t="s">
        <v>64</v>
      </c>
      <c r="AM8" s="694" t="s">
        <v>65</v>
      </c>
      <c r="AN8" s="654" t="s">
        <v>79</v>
      </c>
      <c r="AO8" s="654" t="s">
        <v>80</v>
      </c>
      <c r="AP8" s="654" t="s">
        <v>64</v>
      </c>
      <c r="AQ8" s="652" t="s">
        <v>81</v>
      </c>
      <c r="AR8" s="20"/>
      <c r="AS8" s="708" t="s">
        <v>82</v>
      </c>
      <c r="AT8" s="664" t="s">
        <v>82</v>
      </c>
      <c r="AU8" s="664" t="s">
        <v>83</v>
      </c>
      <c r="AV8" s="664" t="s">
        <v>64</v>
      </c>
      <c r="AW8" s="652" t="s">
        <v>65</v>
      </c>
      <c r="AX8" s="664" t="s">
        <v>84</v>
      </c>
      <c r="AY8" s="664" t="s">
        <v>85</v>
      </c>
      <c r="AZ8" s="664"/>
      <c r="BA8" s="654" t="s">
        <v>86</v>
      </c>
      <c r="BB8" s="654" t="s">
        <v>87</v>
      </c>
      <c r="BC8" s="664" t="s">
        <v>88</v>
      </c>
      <c r="BD8" s="664" t="s">
        <v>89</v>
      </c>
      <c r="BE8" s="664" t="s">
        <v>64</v>
      </c>
      <c r="BF8" s="652" t="s">
        <v>65</v>
      </c>
      <c r="BG8" s="21"/>
      <c r="BH8" s="21"/>
      <c r="BI8" s="21"/>
      <c r="BJ8" s="654" t="s">
        <v>90</v>
      </c>
      <c r="BK8" s="664" t="s">
        <v>91</v>
      </c>
      <c r="BL8" s="664" t="s">
        <v>64</v>
      </c>
      <c r="BM8" s="652" t="s">
        <v>65</v>
      </c>
      <c r="BN8" s="654" t="s">
        <v>92</v>
      </c>
      <c r="BO8" s="664" t="s">
        <v>93</v>
      </c>
      <c r="BP8" s="664" t="s">
        <v>94</v>
      </c>
      <c r="BQ8" s="664" t="s">
        <v>64</v>
      </c>
      <c r="BR8" s="652" t="s">
        <v>65</v>
      </c>
      <c r="BS8" s="654" t="s">
        <v>95</v>
      </c>
      <c r="BT8" s="656" t="s">
        <v>64</v>
      </c>
      <c r="BU8" s="652" t="s">
        <v>65</v>
      </c>
      <c r="BV8" s="664" t="s">
        <v>64</v>
      </c>
      <c r="BW8" s="692" t="s">
        <v>65</v>
      </c>
      <c r="BX8" s="696" t="s">
        <v>96</v>
      </c>
      <c r="BY8" s="654"/>
      <c r="BZ8" s="654" t="s">
        <v>156</v>
      </c>
      <c r="CA8" s="654"/>
      <c r="CB8" s="688" t="s">
        <v>97</v>
      </c>
      <c r="CC8" s="689"/>
      <c r="CD8" s="654" t="s">
        <v>151</v>
      </c>
      <c r="CE8" s="654"/>
      <c r="CF8" s="654" t="s">
        <v>161</v>
      </c>
      <c r="CG8" s="654"/>
      <c r="CH8" s="675"/>
      <c r="CI8" s="675"/>
      <c r="CJ8" s="654" t="s">
        <v>98</v>
      </c>
      <c r="CK8" s="654"/>
      <c r="CL8" s="654" t="s">
        <v>105</v>
      </c>
      <c r="CM8" s="711"/>
      <c r="CN8" s="660" t="s">
        <v>99</v>
      </c>
      <c r="CO8" s="664"/>
      <c r="CP8" s="710" t="s">
        <v>152</v>
      </c>
      <c r="CQ8" s="710"/>
      <c r="CR8" s="654" t="s">
        <v>157</v>
      </c>
      <c r="CS8" s="654"/>
      <c r="CT8" s="654" t="s">
        <v>153</v>
      </c>
      <c r="CU8" s="654"/>
      <c r="CV8" s="690" t="s">
        <v>100</v>
      </c>
      <c r="CW8" s="690"/>
      <c r="CX8" s="690" t="s">
        <v>101</v>
      </c>
      <c r="CY8" s="690"/>
      <c r="CZ8" s="690" t="s">
        <v>105</v>
      </c>
      <c r="DA8" s="691"/>
      <c r="DB8" s="696" t="s">
        <v>158</v>
      </c>
      <c r="DC8" s="654"/>
      <c r="DD8" s="654" t="s">
        <v>102</v>
      </c>
      <c r="DE8" s="654"/>
      <c r="DF8" s="654" t="s">
        <v>103</v>
      </c>
      <c r="DG8" s="654"/>
      <c r="DH8" s="654" t="s">
        <v>159</v>
      </c>
      <c r="DI8" s="654"/>
      <c r="DJ8" s="654" t="s">
        <v>104</v>
      </c>
      <c r="DK8" s="654"/>
      <c r="DL8" s="654" t="s">
        <v>105</v>
      </c>
      <c r="DM8" s="707"/>
      <c r="DN8" s="658" t="s">
        <v>64</v>
      </c>
      <c r="DO8" s="658" t="s">
        <v>65</v>
      </c>
      <c r="DP8" s="650" t="s">
        <v>64</v>
      </c>
      <c r="DQ8" s="662" t="s">
        <v>65</v>
      </c>
      <c r="DR8" s="660" t="s">
        <v>64</v>
      </c>
      <c r="DS8" s="648" t="s">
        <v>65</v>
      </c>
      <c r="DT8" s="664" t="s">
        <v>106</v>
      </c>
      <c r="DU8" s="664" t="s">
        <v>64</v>
      </c>
      <c r="DV8" s="662" t="s">
        <v>65</v>
      </c>
      <c r="DW8" s="650" t="s">
        <v>106</v>
      </c>
      <c r="DX8" s="664" t="s">
        <v>64</v>
      </c>
      <c r="DY8" s="662" t="s">
        <v>65</v>
      </c>
      <c r="DZ8" s="660" t="s">
        <v>106</v>
      </c>
      <c r="EA8" s="664" t="s">
        <v>64</v>
      </c>
      <c r="EB8" s="664" t="s">
        <v>65</v>
      </c>
      <c r="EC8" s="664" t="s">
        <v>106</v>
      </c>
      <c r="ED8" s="664" t="s">
        <v>64</v>
      </c>
      <c r="EE8" s="664" t="s">
        <v>65</v>
      </c>
      <c r="EF8" s="664" t="s">
        <v>106</v>
      </c>
      <c r="EG8" s="648" t="s">
        <v>64</v>
      </c>
      <c r="EH8" s="658" t="s">
        <v>65</v>
      </c>
      <c r="EI8" s="673" t="s">
        <v>106</v>
      </c>
      <c r="EJ8" s="675" t="s">
        <v>64</v>
      </c>
      <c r="EK8" s="679" t="s">
        <v>65</v>
      </c>
      <c r="EL8" s="727" t="s">
        <v>64</v>
      </c>
      <c r="EM8" s="729" t="s">
        <v>65</v>
      </c>
      <c r="EN8" s="650" t="s">
        <v>107</v>
      </c>
      <c r="EO8" s="664" t="s">
        <v>108</v>
      </c>
      <c r="EP8" s="664" t="s">
        <v>109</v>
      </c>
      <c r="EQ8" s="662" t="s">
        <v>110</v>
      </c>
    </row>
    <row r="9" spans="1:147" s="11" customFormat="1" ht="96.75" customHeight="1" thickBot="1">
      <c r="A9" s="702"/>
      <c r="B9" s="705"/>
      <c r="C9" s="668"/>
      <c r="D9" s="698"/>
      <c r="E9" s="668"/>
      <c r="F9" s="698"/>
      <c r="G9" s="661"/>
      <c r="H9" s="669"/>
      <c r="I9" s="669"/>
      <c r="J9" s="695"/>
      <c r="K9" s="668"/>
      <c r="L9" s="669"/>
      <c r="M9" s="669"/>
      <c r="N9" s="698"/>
      <c r="O9" s="668"/>
      <c r="P9" s="669"/>
      <c r="Q9" s="669"/>
      <c r="R9" s="698"/>
      <c r="S9" s="668"/>
      <c r="T9" s="669"/>
      <c r="U9" s="669"/>
      <c r="V9" s="698"/>
      <c r="W9" s="668"/>
      <c r="X9" s="669"/>
      <c r="Y9" s="669"/>
      <c r="Z9" s="698"/>
      <c r="AA9" s="668"/>
      <c r="AB9" s="669"/>
      <c r="AC9" s="669"/>
      <c r="AD9" s="699"/>
      <c r="AE9" s="668"/>
      <c r="AF9" s="669"/>
      <c r="AG9" s="669"/>
      <c r="AH9" s="669"/>
      <c r="AI9" s="698"/>
      <c r="AJ9" s="668"/>
      <c r="AK9" s="669"/>
      <c r="AL9" s="669"/>
      <c r="AM9" s="695"/>
      <c r="AN9" s="655"/>
      <c r="AO9" s="655"/>
      <c r="AP9" s="655"/>
      <c r="AQ9" s="653"/>
      <c r="AR9" s="22"/>
      <c r="AS9" s="709"/>
      <c r="AT9" s="669"/>
      <c r="AU9" s="669"/>
      <c r="AV9" s="669"/>
      <c r="AW9" s="653"/>
      <c r="AX9" s="669"/>
      <c r="AY9" s="14" t="s">
        <v>111</v>
      </c>
      <c r="AZ9" s="14" t="s">
        <v>112</v>
      </c>
      <c r="BA9" s="655"/>
      <c r="BB9" s="655"/>
      <c r="BC9" s="669"/>
      <c r="BD9" s="669"/>
      <c r="BE9" s="669"/>
      <c r="BF9" s="653"/>
      <c r="BG9" s="23"/>
      <c r="BH9" s="23"/>
      <c r="BI9" s="23"/>
      <c r="BJ9" s="655"/>
      <c r="BK9" s="669"/>
      <c r="BL9" s="669"/>
      <c r="BM9" s="653"/>
      <c r="BN9" s="655"/>
      <c r="BO9" s="669"/>
      <c r="BP9" s="669"/>
      <c r="BQ9" s="684"/>
      <c r="BR9" s="653"/>
      <c r="BS9" s="655"/>
      <c r="BT9" s="657"/>
      <c r="BU9" s="653"/>
      <c r="BV9" s="684"/>
      <c r="BW9" s="693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659"/>
      <c r="DO9" s="659"/>
      <c r="DP9" s="651"/>
      <c r="DQ9" s="663"/>
      <c r="DR9" s="661"/>
      <c r="DS9" s="649"/>
      <c r="DT9" s="669"/>
      <c r="DU9" s="669"/>
      <c r="DV9" s="663"/>
      <c r="DW9" s="668"/>
      <c r="DX9" s="669"/>
      <c r="DY9" s="663"/>
      <c r="DZ9" s="661"/>
      <c r="EA9" s="669"/>
      <c r="EB9" s="669"/>
      <c r="EC9" s="669"/>
      <c r="ED9" s="669"/>
      <c r="EE9" s="669"/>
      <c r="EF9" s="669"/>
      <c r="EG9" s="649"/>
      <c r="EH9" s="659"/>
      <c r="EI9" s="674"/>
      <c r="EJ9" s="676"/>
      <c r="EK9" s="680"/>
      <c r="EL9" s="728"/>
      <c r="EM9" s="730"/>
      <c r="EN9" s="668"/>
      <c r="EO9" s="669"/>
      <c r="EP9" s="669"/>
      <c r="EQ9" s="663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  <mergeCell ref="AG8:AG9"/>
    <mergeCell ref="AF8:AF9"/>
    <mergeCell ref="AH8:AH9"/>
    <mergeCell ref="AL8:AL9"/>
    <mergeCell ref="AK8:AK9"/>
    <mergeCell ref="AE8:AE9"/>
    <mergeCell ref="AI8:AI9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C8:C9"/>
    <mergeCell ref="D8:D9"/>
    <mergeCell ref="C7:D7"/>
    <mergeCell ref="E7:F7"/>
    <mergeCell ref="E8:E9"/>
    <mergeCell ref="F8:F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BK8:BK9"/>
    <mergeCell ref="BO8:BO9"/>
    <mergeCell ref="BE8:BE9"/>
    <mergeCell ref="BL8:BL9"/>
    <mergeCell ref="BM8:BM9"/>
    <mergeCell ref="BJ8:BJ9"/>
    <mergeCell ref="BF8:BF9"/>
    <mergeCell ref="BS7:BU7"/>
    <mergeCell ref="DB7:DM7"/>
    <mergeCell ref="DN4:DO6"/>
    <mergeCell ref="BX4:CM6"/>
    <mergeCell ref="CB8:CC8"/>
    <mergeCell ref="CZ8:DA8"/>
    <mergeCell ref="BW8:BW9"/>
    <mergeCell ref="BV7:BW7"/>
    <mergeCell ref="DR7:DS7"/>
    <mergeCell ref="DN7:DO7"/>
    <mergeCell ref="CN7:DA7"/>
    <mergeCell ref="DP4:DQ6"/>
    <mergeCell ref="DP7:DQ7"/>
    <mergeCell ref="DB4:DM6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6.37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>
      <c r="F1" s="525"/>
    </row>
    <row r="2" spans="1:10" ht="12.75" customHeight="1">
      <c r="A2" s="802" t="s">
        <v>1</v>
      </c>
      <c r="B2" s="802" t="s">
        <v>168</v>
      </c>
      <c r="C2" s="802" t="s">
        <v>196</v>
      </c>
      <c r="D2" s="802"/>
      <c r="E2" s="802"/>
      <c r="F2" s="341"/>
      <c r="H2" s="731" t="s">
        <v>169</v>
      </c>
      <c r="I2" s="732"/>
      <c r="J2" s="733"/>
    </row>
    <row r="3" spans="1:10" ht="7.5" customHeight="1">
      <c r="A3" s="802"/>
      <c r="B3" s="802"/>
      <c r="C3" s="802"/>
      <c r="D3" s="802"/>
      <c r="E3" s="802"/>
      <c r="F3" s="341"/>
      <c r="H3" s="734"/>
      <c r="I3" s="735"/>
      <c r="J3" s="736"/>
    </row>
    <row r="4" spans="1:10" ht="12.75" hidden="1">
      <c r="A4" s="802"/>
      <c r="B4" s="802"/>
      <c r="C4" s="802"/>
      <c r="D4" s="802"/>
      <c r="E4" s="802"/>
      <c r="F4" s="341"/>
      <c r="H4" s="734"/>
      <c r="I4" s="735"/>
      <c r="J4" s="736"/>
    </row>
    <row r="5" spans="1:10" ht="9.75" customHeight="1">
      <c r="A5" s="802"/>
      <c r="B5" s="802"/>
      <c r="C5" s="802"/>
      <c r="D5" s="802"/>
      <c r="E5" s="802"/>
      <c r="F5" s="341"/>
      <c r="H5" s="737"/>
      <c r="I5" s="738"/>
      <c r="J5" s="739"/>
    </row>
    <row r="6" spans="1:10" ht="12.75" customHeight="1">
      <c r="A6" s="802"/>
      <c r="B6" s="802"/>
      <c r="C6" s="802" t="s">
        <v>107</v>
      </c>
      <c r="D6" s="802" t="s">
        <v>108</v>
      </c>
      <c r="E6" s="802" t="s">
        <v>110</v>
      </c>
      <c r="F6" s="341"/>
      <c r="H6" s="740" t="s">
        <v>107</v>
      </c>
      <c r="I6" s="742" t="s">
        <v>108</v>
      </c>
      <c r="J6" s="744" t="s">
        <v>110</v>
      </c>
    </row>
    <row r="7" spans="1:12" ht="57.75" customHeight="1" thickBot="1">
      <c r="A7" s="802"/>
      <c r="B7" s="802"/>
      <c r="C7" s="802"/>
      <c r="D7" s="802"/>
      <c r="E7" s="802"/>
      <c r="F7" s="341"/>
      <c r="H7" s="741"/>
      <c r="I7" s="743"/>
      <c r="J7" s="745"/>
      <c r="L7" s="343" t="s">
        <v>166</v>
      </c>
    </row>
    <row r="8" spans="1:19" ht="15.75">
      <c r="A8" s="329">
        <f aca="true" t="shared" si="0" ref="A8:A31">A7+1</f>
        <v>1</v>
      </c>
      <c r="B8" s="527" t="s">
        <v>115</v>
      </c>
      <c r="C8" s="526">
        <f>' 2 кв. 2022'!ER10</f>
        <v>18.401457279745927</v>
      </c>
      <c r="D8" s="528">
        <f>' 2 кв. 2022'!ES10</f>
        <v>21</v>
      </c>
      <c r="E8" s="646" t="s">
        <v>117</v>
      </c>
      <c r="F8" s="341"/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2</v>
      </c>
      <c r="O8" s="523">
        <v>20.3009034855816</v>
      </c>
      <c r="P8" s="340">
        <v>17</v>
      </c>
      <c r="Q8" s="340" t="s">
        <v>116</v>
      </c>
      <c r="R8" s="523">
        <f>C8-O8</f>
        <v>-1.8994462058356731</v>
      </c>
      <c r="S8" s="524">
        <f>D8-P8</f>
        <v>4</v>
      </c>
    </row>
    <row r="9" spans="1:19" ht="15.75">
      <c r="A9" s="329">
        <f t="shared" si="0"/>
        <v>2</v>
      </c>
      <c r="B9" s="529" t="s">
        <v>118</v>
      </c>
      <c r="C9" s="526">
        <f>' 2 кв. 2022'!ER11</f>
        <v>22.517683615438692</v>
      </c>
      <c r="D9" s="528">
        <f>' 2 кв. 2022'!ES11</f>
        <v>2</v>
      </c>
      <c r="E9" s="647" t="s">
        <v>119</v>
      </c>
      <c r="F9" s="341"/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1</v>
      </c>
      <c r="O9" s="523">
        <v>20.94788285343631</v>
      </c>
      <c r="P9" s="340">
        <v>21</v>
      </c>
      <c r="Q9" s="340" t="s">
        <v>116</v>
      </c>
      <c r="R9" s="523">
        <f aca="true" t="shared" si="2" ref="R9:S31">C9-O9</f>
        <v>1.5698007620023802</v>
      </c>
      <c r="S9" s="524">
        <f t="shared" si="2"/>
        <v>-19</v>
      </c>
    </row>
    <row r="10" spans="1:19" ht="15.75">
      <c r="A10" s="329">
        <f t="shared" si="0"/>
        <v>3</v>
      </c>
      <c r="B10" s="529" t="s">
        <v>120</v>
      </c>
      <c r="C10" s="526">
        <f>' 2 кв. 2022'!ER12</f>
        <v>19.59392088611659</v>
      </c>
      <c r="D10" s="528">
        <f>' 2 кв. 2022'!ES12</f>
        <v>15</v>
      </c>
      <c r="E10" s="646" t="s">
        <v>117</v>
      </c>
      <c r="F10" s="341"/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2</v>
      </c>
      <c r="O10" s="523">
        <v>22.89823777907702</v>
      </c>
      <c r="P10" s="340">
        <v>19</v>
      </c>
      <c r="Q10" s="340" t="s">
        <v>116</v>
      </c>
      <c r="R10" s="523">
        <f t="shared" si="2"/>
        <v>-3.3043168929604327</v>
      </c>
      <c r="S10" s="524">
        <f t="shared" si="2"/>
        <v>-4</v>
      </c>
    </row>
    <row r="11" spans="1:19" ht="15.75">
      <c r="A11" s="329">
        <f t="shared" si="0"/>
        <v>4</v>
      </c>
      <c r="B11" s="529" t="s">
        <v>121</v>
      </c>
      <c r="C11" s="526">
        <f>' 2 кв. 2022'!ER13</f>
        <v>18.263775429616274</v>
      </c>
      <c r="D11" s="528">
        <f>' 2 кв. 2022'!ES13</f>
        <v>22</v>
      </c>
      <c r="E11" s="646" t="s">
        <v>117</v>
      </c>
      <c r="F11" s="341"/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2</v>
      </c>
      <c r="O11" s="523">
        <v>23.68286464453358</v>
      </c>
      <c r="P11" s="340">
        <v>2</v>
      </c>
      <c r="Q11" s="340" t="s">
        <v>119</v>
      </c>
      <c r="R11" s="523">
        <f t="shared" si="2"/>
        <v>-5.419089214917307</v>
      </c>
      <c r="S11" s="524">
        <f t="shared" si="2"/>
        <v>20</v>
      </c>
    </row>
    <row r="12" spans="1:19" ht="15.75">
      <c r="A12" s="329">
        <f t="shared" si="0"/>
        <v>5</v>
      </c>
      <c r="B12" s="529" t="s">
        <v>122</v>
      </c>
      <c r="C12" s="526">
        <f>' 2 кв. 2022'!ER14</f>
        <v>21.333325333090805</v>
      </c>
      <c r="D12" s="528">
        <f>' 2 кв. 2022'!ES14</f>
        <v>4</v>
      </c>
      <c r="E12" s="646" t="s">
        <v>117</v>
      </c>
      <c r="F12" s="341"/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3</v>
      </c>
      <c r="O12" s="523">
        <v>20.727964560599766</v>
      </c>
      <c r="P12" s="340">
        <v>16</v>
      </c>
      <c r="Q12" s="340" t="s">
        <v>117</v>
      </c>
      <c r="R12" s="523">
        <f t="shared" si="2"/>
        <v>0.6053607724910393</v>
      </c>
      <c r="S12" s="524">
        <f t="shared" si="2"/>
        <v>-12</v>
      </c>
    </row>
    <row r="13" spans="1:19" ht="15.75">
      <c r="A13" s="329">
        <f t="shared" si="0"/>
        <v>6</v>
      </c>
      <c r="B13" s="529" t="s">
        <v>123</v>
      </c>
      <c r="C13" s="526">
        <f>' 2 кв. 2022'!ER15</f>
        <v>18.296301890533776</v>
      </c>
      <c r="D13" s="528">
        <f>' 2 кв. 2022'!ES15</f>
        <v>23</v>
      </c>
      <c r="E13" s="646" t="s">
        <v>117</v>
      </c>
      <c r="F13" s="341"/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3</v>
      </c>
      <c r="O13" s="523">
        <v>21.324641060239564</v>
      </c>
      <c r="P13" s="340">
        <v>14</v>
      </c>
      <c r="Q13" s="340" t="s">
        <v>117</v>
      </c>
      <c r="R13" s="523">
        <f t="shared" si="2"/>
        <v>-3.028339169705788</v>
      </c>
      <c r="S13" s="524">
        <f t="shared" si="2"/>
        <v>9</v>
      </c>
    </row>
    <row r="14" spans="1:19" ht="15.75">
      <c r="A14" s="329">
        <f t="shared" si="0"/>
        <v>7</v>
      </c>
      <c r="B14" s="529" t="s">
        <v>124</v>
      </c>
      <c r="C14" s="526">
        <f>' 2 кв. 2022'!ER16</f>
        <v>19.261378016303183</v>
      </c>
      <c r="D14" s="528">
        <f>' 2 кв. 2022'!ES16</f>
        <v>17</v>
      </c>
      <c r="E14" s="646" t="s">
        <v>117</v>
      </c>
      <c r="F14" s="341"/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2</v>
      </c>
      <c r="O14" s="523">
        <v>22.201410392222645</v>
      </c>
      <c r="P14" s="340">
        <v>8</v>
      </c>
      <c r="Q14" s="340" t="s">
        <v>117</v>
      </c>
      <c r="R14" s="523">
        <f t="shared" si="2"/>
        <v>-2.9400323759194613</v>
      </c>
      <c r="S14" s="524">
        <f t="shared" si="2"/>
        <v>9</v>
      </c>
    </row>
    <row r="15" spans="1:19" ht="15.75">
      <c r="A15" s="329">
        <f t="shared" si="0"/>
        <v>8</v>
      </c>
      <c r="B15" s="529" t="s">
        <v>125</v>
      </c>
      <c r="C15" s="526">
        <f>' 2 кв. 2022'!ER17</f>
        <v>23.11052104936164</v>
      </c>
      <c r="D15" s="528">
        <f>' 2 кв. 2022'!ES17</f>
        <v>1</v>
      </c>
      <c r="E15" s="647" t="s">
        <v>119</v>
      </c>
      <c r="F15" s="341"/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3</v>
      </c>
      <c r="O15" s="523">
        <v>19.83964054628982</v>
      </c>
      <c r="P15" s="340">
        <v>23</v>
      </c>
      <c r="Q15" s="340" t="s">
        <v>116</v>
      </c>
      <c r="R15" s="523">
        <f t="shared" si="2"/>
        <v>3.270880503071819</v>
      </c>
      <c r="S15" s="524">
        <f t="shared" si="2"/>
        <v>-22</v>
      </c>
    </row>
    <row r="16" spans="1:19" ht="15.75">
      <c r="A16" s="329">
        <f t="shared" si="0"/>
        <v>9</v>
      </c>
      <c r="B16" s="529" t="s">
        <v>126</v>
      </c>
      <c r="C16" s="526">
        <f>' 2 кв. 2022'!ER18</f>
        <v>20.59718656146832</v>
      </c>
      <c r="D16" s="528">
        <f>' 2 кв. 2022'!ES18</f>
        <v>9</v>
      </c>
      <c r="E16" s="646" t="s">
        <v>117</v>
      </c>
      <c r="F16" s="341"/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2</v>
      </c>
      <c r="O16" s="523">
        <v>22.354608989794855</v>
      </c>
      <c r="P16" s="340">
        <v>6</v>
      </c>
      <c r="Q16" s="340" t="s">
        <v>117</v>
      </c>
      <c r="R16" s="523">
        <f t="shared" si="2"/>
        <v>-1.7574224283265352</v>
      </c>
      <c r="S16" s="524">
        <f t="shared" si="2"/>
        <v>3</v>
      </c>
    </row>
    <row r="17" spans="1:19" ht="15.75">
      <c r="A17" s="329">
        <f t="shared" si="0"/>
        <v>10</v>
      </c>
      <c r="B17" s="529" t="s">
        <v>127</v>
      </c>
      <c r="C17" s="526">
        <f>' 2 кв. 2022'!ER19</f>
        <v>19.929961252122613</v>
      </c>
      <c r="D17" s="528">
        <f>' 2 кв. 2022'!ES19</f>
        <v>12</v>
      </c>
      <c r="E17" s="646" t="s">
        <v>117</v>
      </c>
      <c r="F17" s="341"/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2</v>
      </c>
      <c r="O17" s="523">
        <v>22.28579767269808</v>
      </c>
      <c r="P17" s="340">
        <v>7</v>
      </c>
      <c r="Q17" s="340" t="s">
        <v>117</v>
      </c>
      <c r="R17" s="523">
        <f t="shared" si="2"/>
        <v>-2.355836420575468</v>
      </c>
      <c r="S17" s="524">
        <f t="shared" si="2"/>
        <v>5</v>
      </c>
    </row>
    <row r="18" spans="1:19" ht="15.75">
      <c r="A18" s="329">
        <f t="shared" si="0"/>
        <v>11</v>
      </c>
      <c r="B18" s="529" t="s">
        <v>128</v>
      </c>
      <c r="C18" s="526">
        <f>' 2 кв. 2022'!ER20</f>
        <v>18.71931378880727</v>
      </c>
      <c r="D18" s="528">
        <f>' 2 кв. 2022'!ES20</f>
        <v>19</v>
      </c>
      <c r="E18" s="646" t="s">
        <v>117</v>
      </c>
      <c r="F18" s="341"/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3</v>
      </c>
      <c r="O18" s="523">
        <v>21.28406506910028</v>
      </c>
      <c r="P18" s="340">
        <v>20</v>
      </c>
      <c r="Q18" s="340" t="s">
        <v>116</v>
      </c>
      <c r="R18" s="523">
        <f t="shared" si="2"/>
        <v>-2.5647512802930095</v>
      </c>
      <c r="S18" s="524">
        <f t="shared" si="2"/>
        <v>-1</v>
      </c>
    </row>
    <row r="19" spans="1:19" ht="15.75">
      <c r="A19" s="329">
        <f t="shared" si="0"/>
        <v>12</v>
      </c>
      <c r="B19" s="529" t="s">
        <v>129</v>
      </c>
      <c r="C19" s="526">
        <f>' 2 кв. 2022'!ER21</f>
        <v>19.421254173012553</v>
      </c>
      <c r="D19" s="528">
        <f>' 2 кв. 2022'!ES21</f>
        <v>16</v>
      </c>
      <c r="E19" s="646" t="s">
        <v>117</v>
      </c>
      <c r="F19" s="341"/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2</v>
      </c>
      <c r="O19" s="523">
        <v>23.200326869018454</v>
      </c>
      <c r="P19" s="340">
        <v>4</v>
      </c>
      <c r="Q19" s="340" t="s">
        <v>117</v>
      </c>
      <c r="R19" s="523">
        <f t="shared" si="2"/>
        <v>-3.779072696005901</v>
      </c>
      <c r="S19" s="524">
        <f t="shared" si="2"/>
        <v>12</v>
      </c>
    </row>
    <row r="20" spans="1:19" ht="15.75">
      <c r="A20" s="329">
        <f t="shared" si="0"/>
        <v>13</v>
      </c>
      <c r="B20" s="529" t="s">
        <v>130</v>
      </c>
      <c r="C20" s="526">
        <f>' 2 кв. 2022'!ER22</f>
        <v>19.936469834872888</v>
      </c>
      <c r="D20" s="528">
        <f>' 2 кв. 2022'!ES22</f>
        <v>11</v>
      </c>
      <c r="E20" s="646" t="s">
        <v>117</v>
      </c>
      <c r="F20" s="341"/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2</v>
      </c>
      <c r="O20" s="523">
        <v>21.197252457964836</v>
      </c>
      <c r="P20" s="340">
        <v>15</v>
      </c>
      <c r="Q20" s="340" t="s">
        <v>117</v>
      </c>
      <c r="R20" s="523">
        <f t="shared" si="2"/>
        <v>-1.2607826230919486</v>
      </c>
      <c r="S20" s="524">
        <f t="shared" si="2"/>
        <v>-4</v>
      </c>
    </row>
    <row r="21" spans="1:19" ht="15.75">
      <c r="A21" s="329">
        <f t="shared" si="0"/>
        <v>14</v>
      </c>
      <c r="B21" s="529" t="s">
        <v>131</v>
      </c>
      <c r="C21" s="526">
        <f>' 2 кв. 2022'!ER23</f>
        <v>19.745655138683098</v>
      </c>
      <c r="D21" s="528">
        <f>' 2 кв. 2022'!ES23</f>
        <v>13</v>
      </c>
      <c r="E21" s="646" t="s">
        <v>117</v>
      </c>
      <c r="F21" s="341"/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2</v>
      </c>
      <c r="O21" s="523">
        <v>21.545696582639835</v>
      </c>
      <c r="P21" s="340">
        <v>13</v>
      </c>
      <c r="Q21" s="340" t="s">
        <v>117</v>
      </c>
      <c r="R21" s="523">
        <f t="shared" si="2"/>
        <v>-1.8000414439567365</v>
      </c>
      <c r="S21" s="524">
        <f t="shared" si="2"/>
        <v>0</v>
      </c>
    </row>
    <row r="22" spans="1:19" ht="15.75">
      <c r="A22" s="329">
        <f t="shared" si="0"/>
        <v>15</v>
      </c>
      <c r="B22" s="529" t="s">
        <v>132</v>
      </c>
      <c r="C22" s="526">
        <f>' 2 кв. 2022'!ER24</f>
        <v>20.246159551665624</v>
      </c>
      <c r="D22" s="528">
        <f>' 2 кв. 2022'!ES24</f>
        <v>10</v>
      </c>
      <c r="E22" s="646" t="s">
        <v>117</v>
      </c>
      <c r="F22" s="341"/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2</v>
      </c>
      <c r="O22" s="523">
        <v>22.12619982637446</v>
      </c>
      <c r="P22" s="340">
        <v>9</v>
      </c>
      <c r="Q22" s="340" t="s">
        <v>117</v>
      </c>
      <c r="R22" s="523">
        <f t="shared" si="2"/>
        <v>-1.8800402747088363</v>
      </c>
      <c r="S22" s="524">
        <f t="shared" si="2"/>
        <v>1</v>
      </c>
    </row>
    <row r="23" spans="1:19" ht="15.75">
      <c r="A23" s="329">
        <f t="shared" si="0"/>
        <v>16</v>
      </c>
      <c r="B23" s="529" t="s">
        <v>133</v>
      </c>
      <c r="C23" s="526">
        <f>' 2 кв. 2022'!ER25</f>
        <v>21.062346268668662</v>
      </c>
      <c r="D23" s="528">
        <f>' 2 кв. 2022'!ES25</f>
        <v>5</v>
      </c>
      <c r="E23" s="646" t="s">
        <v>117</v>
      </c>
      <c r="F23" s="341"/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1</v>
      </c>
      <c r="O23" s="523">
        <v>22.003913579326042</v>
      </c>
      <c r="P23" s="340">
        <v>10</v>
      </c>
      <c r="Q23" s="340" t="s">
        <v>117</v>
      </c>
      <c r="R23" s="523">
        <f t="shared" si="2"/>
        <v>-0.9415673106573799</v>
      </c>
      <c r="S23" s="524">
        <f t="shared" si="2"/>
        <v>-5</v>
      </c>
    </row>
    <row r="24" spans="1:19" ht="15.75">
      <c r="A24" s="329">
        <f t="shared" si="0"/>
        <v>17</v>
      </c>
      <c r="B24" s="529" t="s">
        <v>134</v>
      </c>
      <c r="C24" s="526">
        <f>' 2 кв. 2022'!ER26</f>
        <v>18.226223481681874</v>
      </c>
      <c r="D24" s="528">
        <f>' 2 кв. 2022'!ES26</f>
        <v>24</v>
      </c>
      <c r="E24" s="646" t="s">
        <v>117</v>
      </c>
      <c r="F24" s="341"/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3</v>
      </c>
      <c r="O24" s="523">
        <v>20.75320703499068</v>
      </c>
      <c r="P24" s="340">
        <v>22</v>
      </c>
      <c r="Q24" s="340" t="s">
        <v>116</v>
      </c>
      <c r="R24" s="523">
        <f t="shared" si="2"/>
        <v>-2.5269835533088063</v>
      </c>
      <c r="S24" s="524">
        <f t="shared" si="2"/>
        <v>2</v>
      </c>
    </row>
    <row r="25" spans="1:19" ht="15.75">
      <c r="A25" s="329">
        <f t="shared" si="0"/>
        <v>18</v>
      </c>
      <c r="B25" s="529" t="s">
        <v>135</v>
      </c>
      <c r="C25" s="526">
        <f>' 2 кв. 2022'!ER27</f>
        <v>18.58411595167133</v>
      </c>
      <c r="D25" s="528">
        <f>' 2 кв. 2022'!ES27</f>
        <v>20</v>
      </c>
      <c r="E25" s="646" t="s">
        <v>117</v>
      </c>
      <c r="F25" s="341"/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3</v>
      </c>
      <c r="O25" s="523">
        <v>19.740985861303372</v>
      </c>
      <c r="P25" s="340">
        <v>24</v>
      </c>
      <c r="Q25" s="340" t="s">
        <v>116</v>
      </c>
      <c r="R25" s="523">
        <f t="shared" si="2"/>
        <v>-1.156869909632043</v>
      </c>
      <c r="S25" s="524">
        <f t="shared" si="2"/>
        <v>-4</v>
      </c>
    </row>
    <row r="26" spans="1:19" ht="15.75">
      <c r="A26" s="329">
        <f t="shared" si="0"/>
        <v>19</v>
      </c>
      <c r="B26" s="529" t="s">
        <v>136</v>
      </c>
      <c r="C26" s="526">
        <f>' 2 кв. 2022'!ER28</f>
        <v>19.03620212439573</v>
      </c>
      <c r="D26" s="528">
        <f>' 2 кв. 2022'!ES28</f>
        <v>18</v>
      </c>
      <c r="E26" s="646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523">
        <v>21.97765124385201</v>
      </c>
      <c r="P26" s="340">
        <v>11</v>
      </c>
      <c r="Q26" s="340" t="s">
        <v>117</v>
      </c>
      <c r="R26" s="523">
        <f t="shared" si="2"/>
        <v>-2.94144911945628</v>
      </c>
      <c r="S26" s="524">
        <f t="shared" si="2"/>
        <v>7</v>
      </c>
    </row>
    <row r="27" spans="1:19" ht="15.75">
      <c r="A27" s="329">
        <f t="shared" si="0"/>
        <v>20</v>
      </c>
      <c r="B27" s="529" t="s">
        <v>137</v>
      </c>
      <c r="C27" s="526">
        <f>' 2 кв. 2022'!ER29</f>
        <v>19.6577111185727</v>
      </c>
      <c r="D27" s="528">
        <f>' 2 кв. 2022'!ES29</f>
        <v>14</v>
      </c>
      <c r="E27" s="646" t="s">
        <v>117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523">
        <v>24.399098082404016</v>
      </c>
      <c r="P27" s="340">
        <v>1</v>
      </c>
      <c r="Q27" s="340" t="s">
        <v>119</v>
      </c>
      <c r="R27" s="523">
        <f t="shared" si="2"/>
        <v>-4.741386963831317</v>
      </c>
      <c r="S27" s="524">
        <f t="shared" si="2"/>
        <v>13</v>
      </c>
    </row>
    <row r="28" spans="1:19" ht="15.75">
      <c r="A28" s="329">
        <f t="shared" si="0"/>
        <v>21</v>
      </c>
      <c r="B28" s="529" t="s">
        <v>138</v>
      </c>
      <c r="C28" s="526">
        <f>' 2 кв. 2022'!ER30</f>
        <v>20.67659638499995</v>
      </c>
      <c r="D28" s="528">
        <f>' 2 кв. 2022'!ES30</f>
        <v>8</v>
      </c>
      <c r="E28" s="646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523">
        <v>23.126098926315844</v>
      </c>
      <c r="P28" s="340">
        <v>5</v>
      </c>
      <c r="Q28" s="340" t="s">
        <v>117</v>
      </c>
      <c r="R28" s="523">
        <f t="shared" si="2"/>
        <v>-2.449502541315894</v>
      </c>
      <c r="S28" s="524">
        <f t="shared" si="2"/>
        <v>3</v>
      </c>
    </row>
    <row r="29" spans="1:19" ht="15.75">
      <c r="A29" s="329">
        <f t="shared" si="0"/>
        <v>22</v>
      </c>
      <c r="B29" s="529" t="s">
        <v>139</v>
      </c>
      <c r="C29" s="526">
        <f>' 2 кв. 2022'!ER31</f>
        <v>21.3785140562249</v>
      </c>
      <c r="D29" s="528">
        <f>' 2 кв. 2022'!ES31</f>
        <v>3</v>
      </c>
      <c r="E29" s="646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523">
        <v>20.244699851664663</v>
      </c>
      <c r="P29" s="340">
        <v>18</v>
      </c>
      <c r="Q29" s="340" t="s">
        <v>116</v>
      </c>
      <c r="R29" s="523">
        <f t="shared" si="2"/>
        <v>1.1338142045602382</v>
      </c>
      <c r="S29" s="524">
        <f t="shared" si="2"/>
        <v>-15</v>
      </c>
    </row>
    <row r="30" spans="1:19" ht="25.5">
      <c r="A30" s="329">
        <f t="shared" si="0"/>
        <v>23</v>
      </c>
      <c r="B30" s="529" t="s">
        <v>140</v>
      </c>
      <c r="C30" s="526">
        <f>' 2 кв. 2022'!ER32</f>
        <v>20.86429874475359</v>
      </c>
      <c r="D30" s="528">
        <f>' 2 кв. 2022'!ES32</f>
        <v>6</v>
      </c>
      <c r="E30" s="646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523">
        <v>21.894669014050322</v>
      </c>
      <c r="P30" s="340">
        <v>12</v>
      </c>
      <c r="Q30" s="340" t="s">
        <v>117</v>
      </c>
      <c r="R30" s="523">
        <f t="shared" si="2"/>
        <v>-1.030370269296732</v>
      </c>
      <c r="S30" s="524">
        <f t="shared" si="2"/>
        <v>-6</v>
      </c>
    </row>
    <row r="31" spans="1:19" ht="15.75">
      <c r="A31" s="329">
        <f t="shared" si="0"/>
        <v>24</v>
      </c>
      <c r="B31" s="529" t="s">
        <v>141</v>
      </c>
      <c r="C31" s="526">
        <f>' 2 кв. 2022'!ER33</f>
        <v>20.896905490186573</v>
      </c>
      <c r="D31" s="528">
        <f>' 2 кв. 2022'!ES33</f>
        <v>7</v>
      </c>
      <c r="E31" s="646" t="s">
        <v>117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523">
        <v>23.403887077031523</v>
      </c>
      <c r="P31" s="340">
        <v>3</v>
      </c>
      <c r="Q31" s="340" t="s">
        <v>119</v>
      </c>
      <c r="R31" s="523">
        <f t="shared" si="2"/>
        <v>-2.506981586844951</v>
      </c>
      <c r="S31" s="524">
        <f t="shared" si="2"/>
        <v>4</v>
      </c>
    </row>
    <row r="32" spans="1:15" ht="14.25" thickBot="1">
      <c r="A32" s="530"/>
      <c r="B32" s="531" t="s">
        <v>189</v>
      </c>
      <c r="C32" s="532">
        <f>SUM(C8:C31)/24</f>
        <v>19.989886559249772</v>
      </c>
      <c r="D32" s="533" t="s">
        <v>142</v>
      </c>
      <c r="E32" s="53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523"/>
    </row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B27"/>
  <sheetViews>
    <sheetView zoomScalePageLayoutView="0" workbookViewId="0" topLeftCell="A1">
      <selection activeCell="A4" sqref="A4:B27"/>
    </sheetView>
  </sheetViews>
  <sheetFormatPr defaultColWidth="9.00390625" defaultRowHeight="12.75"/>
  <cols>
    <col min="2" max="2" width="14.25390625" style="0" customWidth="1"/>
  </cols>
  <sheetData>
    <row r="4" spans="1:2" ht="18.75">
      <c r="A4" s="610">
        <v>17</v>
      </c>
      <c r="B4" s="432">
        <v>15.84704479537014</v>
      </c>
    </row>
    <row r="5" spans="1:2" ht="18.75">
      <c r="A5" s="610">
        <v>12</v>
      </c>
      <c r="B5" s="432">
        <v>17.973513791668932</v>
      </c>
    </row>
    <row r="6" spans="1:2" ht="18.75">
      <c r="A6" s="610">
        <v>13</v>
      </c>
      <c r="B6" s="432">
        <v>18.02556513323828</v>
      </c>
    </row>
    <row r="7" spans="1:2" ht="18.75">
      <c r="A7" s="610">
        <v>7</v>
      </c>
      <c r="B7" s="432">
        <v>18.060417150067394</v>
      </c>
    </row>
    <row r="8" spans="1:2" ht="18.75">
      <c r="A8" s="610">
        <v>6</v>
      </c>
      <c r="B8" s="432">
        <v>18.319331702682646</v>
      </c>
    </row>
    <row r="9" spans="1:2" ht="18.75">
      <c r="A9" s="610">
        <v>14</v>
      </c>
      <c r="B9" s="432">
        <v>18.422864361274996</v>
      </c>
    </row>
    <row r="10" spans="1:2" ht="18.75">
      <c r="A10" s="610">
        <v>10</v>
      </c>
      <c r="B10" s="432">
        <v>18.643902084640064</v>
      </c>
    </row>
    <row r="11" spans="1:2" ht="18.75">
      <c r="A11" s="610">
        <v>19</v>
      </c>
      <c r="B11" s="432">
        <v>18.73273591959304</v>
      </c>
    </row>
    <row r="12" spans="1:2" ht="18.75">
      <c r="A12" s="610">
        <v>9</v>
      </c>
      <c r="B12" s="432">
        <v>18.959356662193255</v>
      </c>
    </row>
    <row r="13" spans="1:2" ht="18.75">
      <c r="A13" s="610">
        <v>15</v>
      </c>
      <c r="B13" s="432">
        <v>18.98846306862756</v>
      </c>
    </row>
    <row r="14" spans="1:2" ht="18.75">
      <c r="A14" s="610">
        <v>23</v>
      </c>
      <c r="B14" s="432">
        <v>19.48388754844335</v>
      </c>
    </row>
    <row r="15" spans="1:2" ht="18.75">
      <c r="A15" s="610">
        <v>22</v>
      </c>
      <c r="B15" s="432">
        <v>19.89529085872576</v>
      </c>
    </row>
    <row r="16" spans="1:2" ht="18.75">
      <c r="A16" s="610">
        <v>3</v>
      </c>
      <c r="B16" s="432">
        <v>20.10503054756036</v>
      </c>
    </row>
    <row r="17" spans="1:2" ht="18.75">
      <c r="A17" s="610">
        <v>18</v>
      </c>
      <c r="B17" s="432">
        <v>20.24985875937719</v>
      </c>
    </row>
    <row r="18" spans="1:2" ht="18.75">
      <c r="A18" s="610">
        <v>4</v>
      </c>
      <c r="B18" s="432">
        <v>20.704675840652854</v>
      </c>
    </row>
    <row r="19" spans="1:2" ht="18.75">
      <c r="A19" s="610">
        <v>11</v>
      </c>
      <c r="B19" s="432">
        <v>20.872225490642187</v>
      </c>
    </row>
    <row r="20" spans="1:2" ht="18.75">
      <c r="A20" s="610">
        <v>16</v>
      </c>
      <c r="B20" s="432">
        <v>20.918468937782265</v>
      </c>
    </row>
    <row r="21" spans="1:2" ht="18.75">
      <c r="A21" s="610">
        <v>1</v>
      </c>
      <c r="B21" s="432">
        <v>20.98394555540888</v>
      </c>
    </row>
    <row r="22" spans="1:2" ht="18.75">
      <c r="A22" s="610">
        <v>5</v>
      </c>
      <c r="B22" s="432">
        <v>21.157845049956194</v>
      </c>
    </row>
    <row r="23" spans="1:2" ht="18.75">
      <c r="A23" s="610">
        <v>24</v>
      </c>
      <c r="B23" s="432">
        <v>21.271200005988362</v>
      </c>
    </row>
    <row r="24" spans="1:2" ht="18.75">
      <c r="A24" s="610">
        <v>8</v>
      </c>
      <c r="B24" s="432">
        <v>21.32379706147532</v>
      </c>
    </row>
    <row r="25" spans="1:2" ht="18.75">
      <c r="A25" s="610">
        <v>20</v>
      </c>
      <c r="B25" s="432">
        <v>21.372450753040166</v>
      </c>
    </row>
    <row r="26" spans="1:2" ht="18.75">
      <c r="A26" s="610">
        <v>2</v>
      </c>
      <c r="B26" s="432">
        <v>21.727325575142693</v>
      </c>
    </row>
    <row r="27" spans="1:2" ht="18.75">
      <c r="A27" s="610">
        <v>21</v>
      </c>
      <c r="B27" s="432">
        <v>21.813016628265913</v>
      </c>
    </row>
  </sheetData>
  <sheetProtection/>
  <autoFilter ref="A3:B3">
    <sortState ref="A4:B27">
      <sortCondition sortBy="value" ref="B4:B2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746" t="s">
        <v>1</v>
      </c>
      <c r="B2" s="749" t="s">
        <v>168</v>
      </c>
      <c r="C2" s="746" t="s">
        <v>171</v>
      </c>
      <c r="D2" s="757"/>
      <c r="E2" s="749"/>
      <c r="F2" s="342"/>
      <c r="H2" s="731" t="s">
        <v>169</v>
      </c>
      <c r="I2" s="732"/>
      <c r="J2" s="733"/>
    </row>
    <row r="3" spans="1:10" ht="7.5" customHeight="1">
      <c r="A3" s="747"/>
      <c r="B3" s="750"/>
      <c r="C3" s="747"/>
      <c r="D3" s="758"/>
      <c r="E3" s="750"/>
      <c r="F3" s="342"/>
      <c r="H3" s="734"/>
      <c r="I3" s="735"/>
      <c r="J3" s="736"/>
    </row>
    <row r="4" spans="1:10" ht="12.75" hidden="1">
      <c r="A4" s="747"/>
      <c r="B4" s="750"/>
      <c r="C4" s="747"/>
      <c r="D4" s="758"/>
      <c r="E4" s="750"/>
      <c r="F4" s="342"/>
      <c r="H4" s="734"/>
      <c r="I4" s="735"/>
      <c r="J4" s="736"/>
    </row>
    <row r="5" spans="1:10" ht="9.75" customHeight="1">
      <c r="A5" s="747"/>
      <c r="B5" s="750"/>
      <c r="C5" s="759"/>
      <c r="D5" s="760"/>
      <c r="E5" s="761"/>
      <c r="F5" s="342"/>
      <c r="H5" s="737"/>
      <c r="I5" s="738"/>
      <c r="J5" s="739"/>
    </row>
    <row r="6" spans="1:10" ht="12.75" customHeight="1">
      <c r="A6" s="747"/>
      <c r="B6" s="750"/>
      <c r="C6" s="753" t="s">
        <v>107</v>
      </c>
      <c r="D6" s="755" t="s">
        <v>108</v>
      </c>
      <c r="E6" s="752" t="s">
        <v>110</v>
      </c>
      <c r="F6" s="342"/>
      <c r="H6" s="740" t="s">
        <v>107</v>
      </c>
      <c r="I6" s="742" t="s">
        <v>108</v>
      </c>
      <c r="J6" s="744" t="s">
        <v>110</v>
      </c>
    </row>
    <row r="7" spans="1:12" ht="57.75" customHeight="1" thickBot="1">
      <c r="A7" s="748"/>
      <c r="B7" s="751"/>
      <c r="C7" s="754"/>
      <c r="D7" s="756"/>
      <c r="E7" s="751"/>
      <c r="F7" s="342"/>
      <c r="H7" s="741"/>
      <c r="I7" s="743"/>
      <c r="J7" s="745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700" t="s">
        <v>1</v>
      </c>
      <c r="B4" s="703" t="s">
        <v>2</v>
      </c>
      <c r="C4" s="650" t="s">
        <v>3</v>
      </c>
      <c r="D4" s="662"/>
      <c r="E4" s="650" t="s">
        <v>4</v>
      </c>
      <c r="F4" s="712"/>
      <c r="G4" s="660" t="s">
        <v>5</v>
      </c>
      <c r="H4" s="664"/>
      <c r="I4" s="664"/>
      <c r="J4" s="648"/>
      <c r="K4" s="650" t="s">
        <v>6</v>
      </c>
      <c r="L4" s="664"/>
      <c r="M4" s="664"/>
      <c r="N4" s="662"/>
      <c r="O4" s="650" t="s">
        <v>7</v>
      </c>
      <c r="P4" s="664"/>
      <c r="Q4" s="664"/>
      <c r="R4" s="662"/>
      <c r="S4" s="650" t="s">
        <v>8</v>
      </c>
      <c r="T4" s="664"/>
      <c r="U4" s="664"/>
      <c r="V4" s="662"/>
      <c r="W4" s="650" t="s">
        <v>9</v>
      </c>
      <c r="X4" s="664"/>
      <c r="Y4" s="664"/>
      <c r="Z4" s="662"/>
      <c r="AA4" s="650" t="s">
        <v>172</v>
      </c>
      <c r="AB4" s="664"/>
      <c r="AC4" s="664"/>
      <c r="AD4" s="662"/>
      <c r="AE4" s="650" t="s">
        <v>10</v>
      </c>
      <c r="AF4" s="664"/>
      <c r="AG4" s="664"/>
      <c r="AH4" s="664"/>
      <c r="AI4" s="662"/>
      <c r="AJ4" s="650" t="s">
        <v>11</v>
      </c>
      <c r="AK4" s="664"/>
      <c r="AL4" s="664"/>
      <c r="AM4" s="648"/>
      <c r="AN4" s="664" t="s">
        <v>12</v>
      </c>
      <c r="AO4" s="664"/>
      <c r="AP4" s="664"/>
      <c r="AQ4" s="664"/>
      <c r="AR4" s="7"/>
      <c r="AS4" s="7"/>
      <c r="AT4" s="664" t="s">
        <v>13</v>
      </c>
      <c r="AU4" s="664"/>
      <c r="AV4" s="664"/>
      <c r="AW4" s="664"/>
      <c r="AX4" s="664" t="s">
        <v>14</v>
      </c>
      <c r="AY4" s="664"/>
      <c r="AZ4" s="664"/>
      <c r="BA4" s="664"/>
      <c r="BB4" s="664"/>
      <c r="BC4" s="664" t="s">
        <v>15</v>
      </c>
      <c r="BD4" s="664"/>
      <c r="BE4" s="664"/>
      <c r="BF4" s="664"/>
      <c r="BG4" s="6"/>
      <c r="BH4" s="7"/>
      <c r="BI4" s="7"/>
      <c r="BJ4" s="664" t="s">
        <v>16</v>
      </c>
      <c r="BK4" s="664"/>
      <c r="BL4" s="664"/>
      <c r="BM4" s="664"/>
      <c r="BN4" s="664" t="s">
        <v>17</v>
      </c>
      <c r="BO4" s="664"/>
      <c r="BP4" s="664"/>
      <c r="BQ4" s="664"/>
      <c r="BR4" s="664"/>
      <c r="BS4" s="685" t="s">
        <v>18</v>
      </c>
      <c r="BT4" s="685"/>
      <c r="BU4" s="685"/>
      <c r="BV4" s="664" t="s">
        <v>19</v>
      </c>
      <c r="BW4" s="648"/>
      <c r="BX4" s="650" t="s">
        <v>20</v>
      </c>
      <c r="BY4" s="664"/>
      <c r="BZ4" s="664"/>
      <c r="CA4" s="664"/>
      <c r="CB4" s="664"/>
      <c r="CC4" s="664"/>
      <c r="CD4" s="664"/>
      <c r="CE4" s="664"/>
      <c r="CF4" s="664"/>
      <c r="CG4" s="664"/>
      <c r="CH4" s="664"/>
      <c r="CI4" s="664"/>
      <c r="CJ4" s="664"/>
      <c r="CK4" s="664"/>
      <c r="CL4" s="664"/>
      <c r="CM4" s="662"/>
      <c r="CN4" s="660" t="s">
        <v>21</v>
      </c>
      <c r="CO4" s="664"/>
      <c r="CP4" s="664"/>
      <c r="CQ4" s="664"/>
      <c r="CR4" s="664"/>
      <c r="CS4" s="664"/>
      <c r="CT4" s="664"/>
      <c r="CU4" s="664"/>
      <c r="CV4" s="664"/>
      <c r="CW4" s="664"/>
      <c r="CX4" s="664"/>
      <c r="CY4" s="664"/>
      <c r="CZ4" s="664"/>
      <c r="DA4" s="664"/>
      <c r="DB4" s="664"/>
      <c r="DC4" s="648"/>
      <c r="DD4" s="650" t="s">
        <v>22</v>
      </c>
      <c r="DE4" s="664"/>
      <c r="DF4" s="664"/>
      <c r="DG4" s="664"/>
      <c r="DH4" s="664"/>
      <c r="DI4" s="664"/>
      <c r="DJ4" s="664"/>
      <c r="DK4" s="664"/>
      <c r="DL4" s="664"/>
      <c r="DM4" s="664"/>
      <c r="DN4" s="664"/>
      <c r="DO4" s="662"/>
      <c r="DP4" s="650" t="s">
        <v>23</v>
      </c>
      <c r="DQ4" s="662"/>
      <c r="DR4" s="650" t="s">
        <v>24</v>
      </c>
      <c r="DS4" s="662"/>
      <c r="DT4" s="660" t="s">
        <v>25</v>
      </c>
      <c r="DU4" s="648"/>
      <c r="DV4" s="664" t="s">
        <v>26</v>
      </c>
      <c r="DW4" s="664"/>
      <c r="DX4" s="662"/>
      <c r="DY4" s="650" t="s">
        <v>27</v>
      </c>
      <c r="DZ4" s="664"/>
      <c r="EA4" s="662"/>
      <c r="EB4" s="660" t="s">
        <v>28</v>
      </c>
      <c r="EC4" s="664"/>
      <c r="ED4" s="664"/>
      <c r="EE4" s="664" t="s">
        <v>29</v>
      </c>
      <c r="EF4" s="664"/>
      <c r="EG4" s="664"/>
      <c r="EH4" s="664" t="s">
        <v>30</v>
      </c>
      <c r="EI4" s="664"/>
      <c r="EJ4" s="648"/>
      <c r="EK4" s="650" t="s">
        <v>31</v>
      </c>
      <c r="EL4" s="664"/>
      <c r="EM4" s="662"/>
      <c r="EN4" s="719" t="s">
        <v>160</v>
      </c>
      <c r="EO4" s="720"/>
      <c r="EP4" s="650" t="s">
        <v>32</v>
      </c>
      <c r="EQ4" s="664"/>
      <c r="ER4" s="664"/>
      <c r="ES4" s="662"/>
    </row>
    <row r="5" spans="1:149" s="11" customFormat="1" ht="15.75">
      <c r="A5" s="701"/>
      <c r="B5" s="704"/>
      <c r="C5" s="665"/>
      <c r="D5" s="667"/>
      <c r="E5" s="701"/>
      <c r="F5" s="713"/>
      <c r="G5" s="681"/>
      <c r="H5" s="666"/>
      <c r="I5" s="666"/>
      <c r="J5" s="677"/>
      <c r="K5" s="665"/>
      <c r="L5" s="666"/>
      <c r="M5" s="666"/>
      <c r="N5" s="667"/>
      <c r="O5" s="665"/>
      <c r="P5" s="666"/>
      <c r="Q5" s="666"/>
      <c r="R5" s="667"/>
      <c r="S5" s="665"/>
      <c r="T5" s="666"/>
      <c r="U5" s="666"/>
      <c r="V5" s="667"/>
      <c r="W5" s="665"/>
      <c r="X5" s="666"/>
      <c r="Y5" s="666"/>
      <c r="Z5" s="667"/>
      <c r="AA5" s="665"/>
      <c r="AB5" s="666"/>
      <c r="AC5" s="666"/>
      <c r="AD5" s="667"/>
      <c r="AE5" s="665"/>
      <c r="AF5" s="666"/>
      <c r="AG5" s="666"/>
      <c r="AH5" s="666"/>
      <c r="AI5" s="667"/>
      <c r="AJ5" s="665"/>
      <c r="AK5" s="666"/>
      <c r="AL5" s="666"/>
      <c r="AM5" s="677"/>
      <c r="AN5" s="666"/>
      <c r="AO5" s="666"/>
      <c r="AP5" s="666"/>
      <c r="AQ5" s="666"/>
      <c r="AR5" s="10"/>
      <c r="AS5" s="10"/>
      <c r="AT5" s="666"/>
      <c r="AU5" s="666"/>
      <c r="AV5" s="666"/>
      <c r="AW5" s="666"/>
      <c r="AX5" s="666"/>
      <c r="AY5" s="666"/>
      <c r="AZ5" s="666"/>
      <c r="BA5" s="666"/>
      <c r="BB5" s="666"/>
      <c r="BC5" s="666"/>
      <c r="BD5" s="666"/>
      <c r="BE5" s="666"/>
      <c r="BF5" s="666"/>
      <c r="BG5" s="9"/>
      <c r="BH5" s="10"/>
      <c r="BI5" s="10"/>
      <c r="BJ5" s="666"/>
      <c r="BK5" s="666"/>
      <c r="BL5" s="666"/>
      <c r="BM5" s="666"/>
      <c r="BN5" s="666"/>
      <c r="BO5" s="666"/>
      <c r="BP5" s="666"/>
      <c r="BQ5" s="666"/>
      <c r="BR5" s="666"/>
      <c r="BS5" s="686"/>
      <c r="BT5" s="686"/>
      <c r="BU5" s="686"/>
      <c r="BV5" s="666"/>
      <c r="BW5" s="677"/>
      <c r="BX5" s="665"/>
      <c r="BY5" s="666"/>
      <c r="BZ5" s="666"/>
      <c r="CA5" s="666"/>
      <c r="CB5" s="666"/>
      <c r="CC5" s="666"/>
      <c r="CD5" s="666"/>
      <c r="CE5" s="666"/>
      <c r="CF5" s="666"/>
      <c r="CG5" s="666"/>
      <c r="CH5" s="666"/>
      <c r="CI5" s="666"/>
      <c r="CJ5" s="666"/>
      <c r="CK5" s="666"/>
      <c r="CL5" s="666"/>
      <c r="CM5" s="667"/>
      <c r="CN5" s="681"/>
      <c r="CO5" s="666"/>
      <c r="CP5" s="666"/>
      <c r="CQ5" s="666"/>
      <c r="CR5" s="666"/>
      <c r="CS5" s="666"/>
      <c r="CT5" s="666"/>
      <c r="CU5" s="666"/>
      <c r="CV5" s="666"/>
      <c r="CW5" s="666"/>
      <c r="CX5" s="666"/>
      <c r="CY5" s="666"/>
      <c r="CZ5" s="666"/>
      <c r="DA5" s="666"/>
      <c r="DB5" s="666"/>
      <c r="DC5" s="677"/>
      <c r="DD5" s="665"/>
      <c r="DE5" s="666"/>
      <c r="DF5" s="666"/>
      <c r="DG5" s="666"/>
      <c r="DH5" s="666"/>
      <c r="DI5" s="666"/>
      <c r="DJ5" s="666"/>
      <c r="DK5" s="666"/>
      <c r="DL5" s="666"/>
      <c r="DM5" s="666"/>
      <c r="DN5" s="666"/>
      <c r="DO5" s="667"/>
      <c r="DP5" s="665"/>
      <c r="DQ5" s="667"/>
      <c r="DR5" s="665"/>
      <c r="DS5" s="667"/>
      <c r="DT5" s="681"/>
      <c r="DU5" s="677"/>
      <c r="DV5" s="666"/>
      <c r="DW5" s="666"/>
      <c r="DX5" s="667"/>
      <c r="DY5" s="665"/>
      <c r="DZ5" s="666"/>
      <c r="EA5" s="667"/>
      <c r="EB5" s="681"/>
      <c r="EC5" s="666"/>
      <c r="ED5" s="666"/>
      <c r="EE5" s="666"/>
      <c r="EF5" s="666"/>
      <c r="EG5" s="666"/>
      <c r="EH5" s="666"/>
      <c r="EI5" s="666"/>
      <c r="EJ5" s="677"/>
      <c r="EK5" s="665"/>
      <c r="EL5" s="666"/>
      <c r="EM5" s="667"/>
      <c r="EN5" s="721"/>
      <c r="EO5" s="722"/>
      <c r="EP5" s="665"/>
      <c r="EQ5" s="666"/>
      <c r="ER5" s="666"/>
      <c r="ES5" s="667"/>
    </row>
    <row r="6" spans="1:149" s="16" customFormat="1" ht="153" customHeight="1" thickBot="1">
      <c r="A6" s="701"/>
      <c r="B6" s="704"/>
      <c r="C6" s="668"/>
      <c r="D6" s="663"/>
      <c r="E6" s="702"/>
      <c r="F6" s="714"/>
      <c r="G6" s="661"/>
      <c r="H6" s="669"/>
      <c r="I6" s="669"/>
      <c r="J6" s="649"/>
      <c r="K6" s="668"/>
      <c r="L6" s="669"/>
      <c r="M6" s="669"/>
      <c r="N6" s="663"/>
      <c r="O6" s="668"/>
      <c r="P6" s="669"/>
      <c r="Q6" s="669"/>
      <c r="R6" s="663"/>
      <c r="S6" s="668"/>
      <c r="T6" s="669"/>
      <c r="U6" s="669"/>
      <c r="V6" s="663"/>
      <c r="W6" s="668"/>
      <c r="X6" s="669"/>
      <c r="Y6" s="669"/>
      <c r="Z6" s="663"/>
      <c r="AA6" s="668"/>
      <c r="AB6" s="669"/>
      <c r="AC6" s="669"/>
      <c r="AD6" s="663"/>
      <c r="AE6" s="668"/>
      <c r="AF6" s="669"/>
      <c r="AG6" s="669"/>
      <c r="AH6" s="669"/>
      <c r="AI6" s="663"/>
      <c r="AJ6" s="668"/>
      <c r="AK6" s="669"/>
      <c r="AL6" s="669"/>
      <c r="AM6" s="649"/>
      <c r="AN6" s="669"/>
      <c r="AO6" s="669"/>
      <c r="AP6" s="669"/>
      <c r="AQ6" s="669"/>
      <c r="AR6" s="15"/>
      <c r="AS6" s="15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14"/>
      <c r="BH6" s="15"/>
      <c r="BI6" s="15"/>
      <c r="BJ6" s="669"/>
      <c r="BK6" s="669"/>
      <c r="BL6" s="669"/>
      <c r="BM6" s="669"/>
      <c r="BN6" s="669"/>
      <c r="BO6" s="669"/>
      <c r="BP6" s="669"/>
      <c r="BQ6" s="669"/>
      <c r="BR6" s="669"/>
      <c r="BS6" s="687"/>
      <c r="BT6" s="687"/>
      <c r="BU6" s="687"/>
      <c r="BV6" s="669"/>
      <c r="BW6" s="649"/>
      <c r="BX6" s="668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69"/>
      <c r="CM6" s="663"/>
      <c r="CN6" s="661"/>
      <c r="CO6" s="669"/>
      <c r="CP6" s="669"/>
      <c r="CQ6" s="669"/>
      <c r="CR6" s="669"/>
      <c r="CS6" s="669"/>
      <c r="CT6" s="669"/>
      <c r="CU6" s="669"/>
      <c r="CV6" s="669"/>
      <c r="CW6" s="669"/>
      <c r="CX6" s="669"/>
      <c r="CY6" s="669"/>
      <c r="CZ6" s="669"/>
      <c r="DA6" s="669"/>
      <c r="DB6" s="669"/>
      <c r="DC6" s="649"/>
      <c r="DD6" s="668"/>
      <c r="DE6" s="669"/>
      <c r="DF6" s="669"/>
      <c r="DG6" s="669"/>
      <c r="DH6" s="669"/>
      <c r="DI6" s="669"/>
      <c r="DJ6" s="669"/>
      <c r="DK6" s="669"/>
      <c r="DL6" s="669"/>
      <c r="DM6" s="669"/>
      <c r="DN6" s="669"/>
      <c r="DO6" s="663"/>
      <c r="DP6" s="668"/>
      <c r="DQ6" s="663"/>
      <c r="DR6" s="668"/>
      <c r="DS6" s="663"/>
      <c r="DT6" s="661"/>
      <c r="DU6" s="649"/>
      <c r="DV6" s="669"/>
      <c r="DW6" s="669"/>
      <c r="DX6" s="663"/>
      <c r="DY6" s="668"/>
      <c r="DZ6" s="669"/>
      <c r="EA6" s="663"/>
      <c r="EB6" s="661"/>
      <c r="EC6" s="669"/>
      <c r="ED6" s="669"/>
      <c r="EE6" s="669"/>
      <c r="EF6" s="669"/>
      <c r="EG6" s="669"/>
      <c r="EH6" s="669"/>
      <c r="EI6" s="669"/>
      <c r="EJ6" s="649"/>
      <c r="EK6" s="668"/>
      <c r="EL6" s="669"/>
      <c r="EM6" s="663"/>
      <c r="EN6" s="723"/>
      <c r="EO6" s="724"/>
      <c r="EP6" s="665"/>
      <c r="EQ6" s="666"/>
      <c r="ER6" s="666"/>
      <c r="ES6" s="667"/>
    </row>
    <row r="7" spans="1:149" s="16" customFormat="1" ht="16.5" thickBot="1">
      <c r="A7" s="701"/>
      <c r="B7" s="704"/>
      <c r="C7" s="762" t="s">
        <v>33</v>
      </c>
      <c r="D7" s="763"/>
      <c r="E7" s="762" t="s">
        <v>34</v>
      </c>
      <c r="F7" s="763"/>
      <c r="G7" s="764" t="s">
        <v>35</v>
      </c>
      <c r="H7" s="767"/>
      <c r="I7" s="767"/>
      <c r="J7" s="765"/>
      <c r="K7" s="762" t="s">
        <v>36</v>
      </c>
      <c r="L7" s="767"/>
      <c r="M7" s="767"/>
      <c r="N7" s="763"/>
      <c r="O7" s="762" t="s">
        <v>37</v>
      </c>
      <c r="P7" s="767"/>
      <c r="Q7" s="767"/>
      <c r="R7" s="763"/>
      <c r="S7" s="762" t="s">
        <v>38</v>
      </c>
      <c r="T7" s="767"/>
      <c r="U7" s="767"/>
      <c r="V7" s="763"/>
      <c r="W7" s="762" t="s">
        <v>39</v>
      </c>
      <c r="X7" s="767"/>
      <c r="Y7" s="767"/>
      <c r="Z7" s="763"/>
      <c r="AA7" s="762" t="s">
        <v>40</v>
      </c>
      <c r="AB7" s="767"/>
      <c r="AC7" s="767"/>
      <c r="AD7" s="763"/>
      <c r="AE7" s="762" t="s">
        <v>41</v>
      </c>
      <c r="AF7" s="767"/>
      <c r="AG7" s="767"/>
      <c r="AH7" s="767"/>
      <c r="AI7" s="763"/>
      <c r="AJ7" s="762" t="s">
        <v>42</v>
      </c>
      <c r="AK7" s="767"/>
      <c r="AL7" s="767"/>
      <c r="AM7" s="765"/>
      <c r="AN7" s="767" t="s">
        <v>43</v>
      </c>
      <c r="AO7" s="767"/>
      <c r="AP7" s="767"/>
      <c r="AQ7" s="767"/>
      <c r="AR7" s="376"/>
      <c r="AS7" s="376"/>
      <c r="AT7" s="767" t="s">
        <v>44</v>
      </c>
      <c r="AU7" s="767"/>
      <c r="AV7" s="767"/>
      <c r="AW7" s="767"/>
      <c r="AX7" s="767" t="s">
        <v>45</v>
      </c>
      <c r="AY7" s="767"/>
      <c r="AZ7" s="767"/>
      <c r="BA7" s="767"/>
      <c r="BB7" s="767"/>
      <c r="BC7" s="767" t="s">
        <v>46</v>
      </c>
      <c r="BD7" s="767"/>
      <c r="BE7" s="767"/>
      <c r="BF7" s="767"/>
      <c r="BG7" s="375"/>
      <c r="BH7" s="376"/>
      <c r="BI7" s="376"/>
      <c r="BJ7" s="767" t="s">
        <v>47</v>
      </c>
      <c r="BK7" s="767"/>
      <c r="BL7" s="767"/>
      <c r="BM7" s="767"/>
      <c r="BN7" s="767" t="s">
        <v>48</v>
      </c>
      <c r="BO7" s="767"/>
      <c r="BP7" s="767"/>
      <c r="BQ7" s="767"/>
      <c r="BR7" s="767"/>
      <c r="BS7" s="767" t="s">
        <v>49</v>
      </c>
      <c r="BT7" s="767"/>
      <c r="BU7" s="767"/>
      <c r="BV7" s="767" t="s">
        <v>50</v>
      </c>
      <c r="BW7" s="765"/>
      <c r="BX7" s="762" t="s">
        <v>51</v>
      </c>
      <c r="BY7" s="767"/>
      <c r="BZ7" s="767"/>
      <c r="CA7" s="767"/>
      <c r="CB7" s="767"/>
      <c r="CC7" s="767"/>
      <c r="CD7" s="767"/>
      <c r="CE7" s="767"/>
      <c r="CF7" s="767"/>
      <c r="CG7" s="767"/>
      <c r="CH7" s="767"/>
      <c r="CI7" s="767"/>
      <c r="CJ7" s="767"/>
      <c r="CK7" s="767"/>
      <c r="CL7" s="767"/>
      <c r="CM7" s="763"/>
      <c r="CN7" s="764" t="s">
        <v>52</v>
      </c>
      <c r="CO7" s="767"/>
      <c r="CP7" s="767"/>
      <c r="CQ7" s="767"/>
      <c r="CR7" s="767"/>
      <c r="CS7" s="767"/>
      <c r="CT7" s="767"/>
      <c r="CU7" s="767"/>
      <c r="CV7" s="767"/>
      <c r="CW7" s="767"/>
      <c r="CX7" s="767"/>
      <c r="CY7" s="767"/>
      <c r="CZ7" s="767"/>
      <c r="DA7" s="767"/>
      <c r="DB7" s="767"/>
      <c r="DC7" s="765"/>
      <c r="DD7" s="762" t="s">
        <v>53</v>
      </c>
      <c r="DE7" s="767"/>
      <c r="DF7" s="767"/>
      <c r="DG7" s="767"/>
      <c r="DH7" s="767"/>
      <c r="DI7" s="767"/>
      <c r="DJ7" s="767"/>
      <c r="DK7" s="767"/>
      <c r="DL7" s="767"/>
      <c r="DM7" s="767"/>
      <c r="DN7" s="767"/>
      <c r="DO7" s="763"/>
      <c r="DP7" s="762" t="s">
        <v>54</v>
      </c>
      <c r="DQ7" s="763"/>
      <c r="DR7" s="762" t="s">
        <v>55</v>
      </c>
      <c r="DS7" s="763"/>
      <c r="DT7" s="764" t="s">
        <v>56</v>
      </c>
      <c r="DU7" s="765"/>
      <c r="DV7" s="767" t="s">
        <v>57</v>
      </c>
      <c r="DW7" s="767"/>
      <c r="DX7" s="763"/>
      <c r="DY7" s="762" t="s">
        <v>58</v>
      </c>
      <c r="DZ7" s="767"/>
      <c r="EA7" s="763"/>
      <c r="EB7" s="764" t="s">
        <v>59</v>
      </c>
      <c r="EC7" s="767"/>
      <c r="ED7" s="767"/>
      <c r="EE7" s="767" t="s">
        <v>60</v>
      </c>
      <c r="EF7" s="767"/>
      <c r="EG7" s="767"/>
      <c r="EH7" s="767" t="s">
        <v>61</v>
      </c>
      <c r="EI7" s="767"/>
      <c r="EJ7" s="765"/>
      <c r="EK7" s="762" t="s">
        <v>63</v>
      </c>
      <c r="EL7" s="767"/>
      <c r="EM7" s="763"/>
      <c r="EN7" s="725" t="s">
        <v>62</v>
      </c>
      <c r="EO7" s="726"/>
      <c r="EP7" s="668"/>
      <c r="EQ7" s="669"/>
      <c r="ER7" s="669"/>
      <c r="ES7" s="663"/>
    </row>
    <row r="8" spans="1:149" s="16" customFormat="1" ht="111.75" customHeight="1" thickBot="1">
      <c r="A8" s="701"/>
      <c r="B8" s="704"/>
      <c r="C8" s="650" t="s">
        <v>64</v>
      </c>
      <c r="D8" s="697" t="s">
        <v>65</v>
      </c>
      <c r="E8" s="650" t="s">
        <v>64</v>
      </c>
      <c r="F8" s="697" t="s">
        <v>65</v>
      </c>
      <c r="G8" s="660" t="s">
        <v>66</v>
      </c>
      <c r="H8" s="664" t="s">
        <v>67</v>
      </c>
      <c r="I8" s="664" t="s">
        <v>64</v>
      </c>
      <c r="J8" s="694" t="s">
        <v>65</v>
      </c>
      <c r="K8" s="650" t="s">
        <v>67</v>
      </c>
      <c r="L8" s="664" t="s">
        <v>68</v>
      </c>
      <c r="M8" s="664" t="s">
        <v>64</v>
      </c>
      <c r="N8" s="697" t="s">
        <v>65</v>
      </c>
      <c r="O8" s="650" t="s">
        <v>67</v>
      </c>
      <c r="P8" s="664" t="s">
        <v>69</v>
      </c>
      <c r="Q8" s="664" t="s">
        <v>64</v>
      </c>
      <c r="R8" s="697" t="s">
        <v>65</v>
      </c>
      <c r="S8" s="650" t="s">
        <v>70</v>
      </c>
      <c r="T8" s="664" t="s">
        <v>71</v>
      </c>
      <c r="U8" s="664" t="s">
        <v>64</v>
      </c>
      <c r="V8" s="697" t="s">
        <v>65</v>
      </c>
      <c r="W8" s="650" t="s">
        <v>72</v>
      </c>
      <c r="X8" s="664" t="s">
        <v>73</v>
      </c>
      <c r="Y8" s="664" t="s">
        <v>64</v>
      </c>
      <c r="Z8" s="697" t="s">
        <v>65</v>
      </c>
      <c r="AA8" s="650" t="s">
        <v>74</v>
      </c>
      <c r="AB8" s="664" t="s">
        <v>75</v>
      </c>
      <c r="AC8" s="664" t="s">
        <v>64</v>
      </c>
      <c r="AD8" s="697" t="s">
        <v>65</v>
      </c>
      <c r="AE8" s="650" t="s">
        <v>76</v>
      </c>
      <c r="AF8" s="664" t="s">
        <v>77</v>
      </c>
      <c r="AG8" s="664" t="s">
        <v>78</v>
      </c>
      <c r="AH8" s="664" t="s">
        <v>64</v>
      </c>
      <c r="AI8" s="697" t="s">
        <v>65</v>
      </c>
      <c r="AJ8" s="650" t="s">
        <v>154</v>
      </c>
      <c r="AK8" s="664" t="s">
        <v>155</v>
      </c>
      <c r="AL8" s="664" t="s">
        <v>64</v>
      </c>
      <c r="AM8" s="694" t="s">
        <v>65</v>
      </c>
      <c r="AN8" s="664" t="s">
        <v>79</v>
      </c>
      <c r="AO8" s="664" t="s">
        <v>80</v>
      </c>
      <c r="AP8" s="664" t="s">
        <v>64</v>
      </c>
      <c r="AQ8" s="768" t="s">
        <v>81</v>
      </c>
      <c r="AR8" s="21"/>
      <c r="AS8" s="708" t="s">
        <v>82</v>
      </c>
      <c r="AT8" s="664" t="s">
        <v>82</v>
      </c>
      <c r="AU8" s="664" t="s">
        <v>83</v>
      </c>
      <c r="AV8" s="664" t="s">
        <v>64</v>
      </c>
      <c r="AW8" s="768" t="s">
        <v>65</v>
      </c>
      <c r="AX8" s="664" t="s">
        <v>84</v>
      </c>
      <c r="AY8" s="664" t="s">
        <v>85</v>
      </c>
      <c r="AZ8" s="664"/>
      <c r="BA8" s="664" t="s">
        <v>86</v>
      </c>
      <c r="BB8" s="664" t="s">
        <v>87</v>
      </c>
      <c r="BC8" s="710" t="s">
        <v>88</v>
      </c>
      <c r="BD8" s="710" t="s">
        <v>89</v>
      </c>
      <c r="BE8" s="664" t="s">
        <v>64</v>
      </c>
      <c r="BF8" s="768" t="s">
        <v>65</v>
      </c>
      <c r="BG8" s="21"/>
      <c r="BH8" s="21"/>
      <c r="BI8" s="21"/>
      <c r="BJ8" s="664" t="s">
        <v>90</v>
      </c>
      <c r="BK8" s="664" t="s">
        <v>91</v>
      </c>
      <c r="BL8" s="664" t="s">
        <v>64</v>
      </c>
      <c r="BM8" s="768" t="s">
        <v>65</v>
      </c>
      <c r="BN8" s="664" t="s">
        <v>92</v>
      </c>
      <c r="BO8" s="664" t="s">
        <v>93</v>
      </c>
      <c r="BP8" s="664" t="s">
        <v>94</v>
      </c>
      <c r="BQ8" s="664" t="s">
        <v>64</v>
      </c>
      <c r="BR8" s="768" t="s">
        <v>65</v>
      </c>
      <c r="BS8" s="664" t="s">
        <v>95</v>
      </c>
      <c r="BT8" s="664" t="s">
        <v>64</v>
      </c>
      <c r="BU8" s="768" t="s">
        <v>65</v>
      </c>
      <c r="BV8" s="664" t="s">
        <v>64</v>
      </c>
      <c r="BW8" s="697" t="s">
        <v>65</v>
      </c>
      <c r="BX8" s="762" t="s">
        <v>96</v>
      </c>
      <c r="BY8" s="767"/>
      <c r="BZ8" s="767" t="s">
        <v>156</v>
      </c>
      <c r="CA8" s="767"/>
      <c r="CB8" s="765" t="s">
        <v>97</v>
      </c>
      <c r="CC8" s="764"/>
      <c r="CD8" s="767" t="s">
        <v>151</v>
      </c>
      <c r="CE8" s="767"/>
      <c r="CF8" s="767" t="s">
        <v>161</v>
      </c>
      <c r="CG8" s="767"/>
      <c r="CH8" s="770"/>
      <c r="CI8" s="770"/>
      <c r="CJ8" s="767" t="s">
        <v>98</v>
      </c>
      <c r="CK8" s="767"/>
      <c r="CL8" s="767" t="s">
        <v>105</v>
      </c>
      <c r="CM8" s="763"/>
      <c r="CN8" s="764" t="s">
        <v>99</v>
      </c>
      <c r="CO8" s="767"/>
      <c r="CP8" s="771" t="s">
        <v>152</v>
      </c>
      <c r="CQ8" s="771"/>
      <c r="CR8" s="767" t="s">
        <v>157</v>
      </c>
      <c r="CS8" s="767"/>
      <c r="CT8" s="767" t="s">
        <v>153</v>
      </c>
      <c r="CU8" s="767"/>
      <c r="CV8" s="767" t="s">
        <v>162</v>
      </c>
      <c r="CW8" s="767"/>
      <c r="CX8" s="767" t="s">
        <v>100</v>
      </c>
      <c r="CY8" s="767"/>
      <c r="CZ8" s="767" t="s">
        <v>101</v>
      </c>
      <c r="DA8" s="767"/>
      <c r="DB8" s="767" t="s">
        <v>105</v>
      </c>
      <c r="DC8" s="765"/>
      <c r="DD8" s="762" t="s">
        <v>158</v>
      </c>
      <c r="DE8" s="767"/>
      <c r="DF8" s="767" t="s">
        <v>102</v>
      </c>
      <c r="DG8" s="767"/>
      <c r="DH8" s="767" t="s">
        <v>103</v>
      </c>
      <c r="DI8" s="767"/>
      <c r="DJ8" s="767" t="s">
        <v>159</v>
      </c>
      <c r="DK8" s="767"/>
      <c r="DL8" s="767" t="s">
        <v>104</v>
      </c>
      <c r="DM8" s="767"/>
      <c r="DN8" s="767" t="s">
        <v>105</v>
      </c>
      <c r="DO8" s="763"/>
      <c r="DP8" s="658" t="s">
        <v>64</v>
      </c>
      <c r="DQ8" s="658" t="s">
        <v>65</v>
      </c>
      <c r="DR8" s="650" t="s">
        <v>64</v>
      </c>
      <c r="DS8" s="662" t="s">
        <v>65</v>
      </c>
      <c r="DT8" s="660" t="s">
        <v>64</v>
      </c>
      <c r="DU8" s="648" t="s">
        <v>65</v>
      </c>
      <c r="DV8" s="664" t="s">
        <v>106</v>
      </c>
      <c r="DW8" s="664" t="s">
        <v>64</v>
      </c>
      <c r="DX8" s="662" t="s">
        <v>65</v>
      </c>
      <c r="DY8" s="650" t="s">
        <v>106</v>
      </c>
      <c r="DZ8" s="664" t="s">
        <v>64</v>
      </c>
      <c r="EA8" s="662" t="s">
        <v>65</v>
      </c>
      <c r="EB8" s="660" t="s">
        <v>106</v>
      </c>
      <c r="EC8" s="664" t="s">
        <v>64</v>
      </c>
      <c r="ED8" s="664" t="s">
        <v>65</v>
      </c>
      <c r="EE8" s="664" t="s">
        <v>106</v>
      </c>
      <c r="EF8" s="664" t="s">
        <v>64</v>
      </c>
      <c r="EG8" s="664" t="s">
        <v>65</v>
      </c>
      <c r="EH8" s="664" t="s">
        <v>106</v>
      </c>
      <c r="EI8" s="648" t="s">
        <v>64</v>
      </c>
      <c r="EJ8" s="658" t="s">
        <v>65</v>
      </c>
      <c r="EK8" s="673" t="s">
        <v>106</v>
      </c>
      <c r="EL8" s="675" t="s">
        <v>64</v>
      </c>
      <c r="EM8" s="679" t="s">
        <v>65</v>
      </c>
      <c r="EN8" s="727" t="s">
        <v>64</v>
      </c>
      <c r="EO8" s="729" t="s">
        <v>65</v>
      </c>
      <c r="EP8" s="650" t="s">
        <v>107</v>
      </c>
      <c r="EQ8" s="664" t="s">
        <v>108</v>
      </c>
      <c r="ER8" s="664" t="s">
        <v>109</v>
      </c>
      <c r="ES8" s="662" t="s">
        <v>110</v>
      </c>
    </row>
    <row r="9" spans="1:149" s="11" customFormat="1" ht="96.75" customHeight="1" thickBot="1">
      <c r="A9" s="702"/>
      <c r="B9" s="705"/>
      <c r="C9" s="668"/>
      <c r="D9" s="698"/>
      <c r="E9" s="668"/>
      <c r="F9" s="698"/>
      <c r="G9" s="661"/>
      <c r="H9" s="669"/>
      <c r="I9" s="669"/>
      <c r="J9" s="695"/>
      <c r="K9" s="668"/>
      <c r="L9" s="669"/>
      <c r="M9" s="669"/>
      <c r="N9" s="698"/>
      <c r="O9" s="668"/>
      <c r="P9" s="669"/>
      <c r="Q9" s="669"/>
      <c r="R9" s="698"/>
      <c r="S9" s="668"/>
      <c r="T9" s="669"/>
      <c r="U9" s="669"/>
      <c r="V9" s="698"/>
      <c r="W9" s="668"/>
      <c r="X9" s="669"/>
      <c r="Y9" s="669"/>
      <c r="Z9" s="698"/>
      <c r="AA9" s="668"/>
      <c r="AB9" s="669"/>
      <c r="AC9" s="669"/>
      <c r="AD9" s="698"/>
      <c r="AE9" s="668"/>
      <c r="AF9" s="669"/>
      <c r="AG9" s="669"/>
      <c r="AH9" s="669"/>
      <c r="AI9" s="698"/>
      <c r="AJ9" s="668"/>
      <c r="AK9" s="669"/>
      <c r="AL9" s="669"/>
      <c r="AM9" s="695"/>
      <c r="AN9" s="669"/>
      <c r="AO9" s="669"/>
      <c r="AP9" s="669"/>
      <c r="AQ9" s="769"/>
      <c r="AR9" s="23"/>
      <c r="AS9" s="709"/>
      <c r="AT9" s="669"/>
      <c r="AU9" s="669"/>
      <c r="AV9" s="669"/>
      <c r="AW9" s="769"/>
      <c r="AX9" s="669"/>
      <c r="AY9" s="14" t="s">
        <v>111</v>
      </c>
      <c r="AZ9" s="14" t="s">
        <v>112</v>
      </c>
      <c r="BA9" s="669"/>
      <c r="BB9" s="669"/>
      <c r="BC9" s="766"/>
      <c r="BD9" s="766"/>
      <c r="BE9" s="669"/>
      <c r="BF9" s="769"/>
      <c r="BG9" s="23"/>
      <c r="BH9" s="23"/>
      <c r="BI9" s="23"/>
      <c r="BJ9" s="669"/>
      <c r="BK9" s="669"/>
      <c r="BL9" s="669"/>
      <c r="BM9" s="769"/>
      <c r="BN9" s="669"/>
      <c r="BO9" s="669"/>
      <c r="BP9" s="669"/>
      <c r="BQ9" s="669"/>
      <c r="BR9" s="769"/>
      <c r="BS9" s="669"/>
      <c r="BT9" s="669"/>
      <c r="BU9" s="769"/>
      <c r="BV9" s="669"/>
      <c r="BW9" s="698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659"/>
      <c r="DQ9" s="659"/>
      <c r="DR9" s="668"/>
      <c r="DS9" s="663"/>
      <c r="DT9" s="661"/>
      <c r="DU9" s="649"/>
      <c r="DV9" s="669"/>
      <c r="DW9" s="669"/>
      <c r="DX9" s="663"/>
      <c r="DY9" s="668"/>
      <c r="DZ9" s="669"/>
      <c r="EA9" s="663"/>
      <c r="EB9" s="661"/>
      <c r="EC9" s="669"/>
      <c r="ED9" s="669"/>
      <c r="EE9" s="669"/>
      <c r="EF9" s="669"/>
      <c r="EG9" s="669"/>
      <c r="EH9" s="669"/>
      <c r="EI9" s="649"/>
      <c r="EJ9" s="659"/>
      <c r="EK9" s="674"/>
      <c r="EL9" s="676"/>
      <c r="EM9" s="680"/>
      <c r="EN9" s="728"/>
      <c r="EO9" s="730"/>
      <c r="EP9" s="668"/>
      <c r="EQ9" s="669"/>
      <c r="ER9" s="669"/>
      <c r="ES9" s="663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  <mergeCell ref="DY8:DY9"/>
    <mergeCell ref="DX8:DX9"/>
    <mergeCell ref="DR8:DR9"/>
    <mergeCell ref="DT8:DT9"/>
    <mergeCell ref="EH8:EH9"/>
    <mergeCell ref="EI8:EI9"/>
    <mergeCell ref="DU8:DU9"/>
    <mergeCell ref="DZ8:DZ9"/>
    <mergeCell ref="EE4:EG6"/>
    <mergeCell ref="EG8:EG9"/>
    <mergeCell ref="EF8:EF9"/>
    <mergeCell ref="EB8:EB9"/>
    <mergeCell ref="EC8:EC9"/>
    <mergeCell ref="ED8:ED9"/>
    <mergeCell ref="EE8:EE9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B110"/>
  <sheetViews>
    <sheetView showGridLines="0" view="pageBreakPreview" zoomScale="60" zoomScaleNormal="90" zoomScalePageLayoutView="0" workbookViewId="0" topLeftCell="A4">
      <pane xSplit="2" ySplit="6" topLeftCell="DQ10" activePane="bottomRight" state="frozen"/>
      <selection pane="topLeft" activeCell="K32" sqref="K32"/>
      <selection pane="topRight" activeCell="K32" sqref="K32"/>
      <selection pane="bottomLeft" activeCell="K32" sqref="K32"/>
      <selection pane="bottomRight" activeCell="ET10" sqref="ET10:ET33"/>
    </sheetView>
  </sheetViews>
  <sheetFormatPr defaultColWidth="9.00390625" defaultRowHeight="12.75"/>
  <cols>
    <col min="1" max="1" width="10.00390625" style="138" bestFit="1" customWidth="1"/>
    <col min="2" max="2" width="22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2.75390625" style="3" hidden="1" customWidth="1"/>
    <col min="10" max="10" width="7.625" style="3" hidden="1" customWidth="1"/>
    <col min="11" max="11" width="14.375" style="3" customWidth="1"/>
    <col min="12" max="12" width="15.375" style="3" customWidth="1"/>
    <col min="13" max="13" width="11.25390625" style="3" customWidth="1"/>
    <col min="14" max="14" width="11.75390625" style="3" customWidth="1"/>
    <col min="15" max="16" width="14.875" style="3" customWidth="1"/>
    <col min="17" max="17" width="13.25390625" style="3" customWidth="1"/>
    <col min="18" max="18" width="9.875" style="3" customWidth="1"/>
    <col min="19" max="19" width="17.125" style="3" customWidth="1"/>
    <col min="20" max="20" width="42.375" style="3" hidden="1" customWidth="1"/>
    <col min="21" max="21" width="17.625" style="3" customWidth="1"/>
    <col min="22" max="22" width="13.25390625" style="3" customWidth="1"/>
    <col min="23" max="23" width="10.25390625" style="3" customWidth="1"/>
    <col min="24" max="24" width="20.25390625" style="3" customWidth="1"/>
    <col min="25" max="25" width="16.125" style="3" customWidth="1"/>
    <col min="26" max="26" width="12.25390625" style="3" customWidth="1"/>
    <col min="27" max="27" width="12.125" style="3" customWidth="1"/>
    <col min="28" max="28" width="13.875" style="3" customWidth="1"/>
    <col min="29" max="29" width="15.25390625" style="3" customWidth="1"/>
    <col min="30" max="30" width="17.125" style="3" customWidth="1"/>
    <col min="31" max="31" width="12.25390625" style="3" customWidth="1"/>
    <col min="32" max="32" width="17.125" style="3" customWidth="1"/>
    <col min="33" max="33" width="16.375" style="3" customWidth="1"/>
    <col min="34" max="34" width="19.125" style="3" customWidth="1"/>
    <col min="35" max="35" width="12.375" style="3" customWidth="1"/>
    <col min="36" max="36" width="11.25390625" style="3" customWidth="1"/>
    <col min="37" max="37" width="12.75390625" style="3" customWidth="1"/>
    <col min="38" max="38" width="13.75390625" style="3" customWidth="1"/>
    <col min="39" max="39" width="13.00390625" style="3" customWidth="1"/>
    <col min="40" max="40" width="9.25390625" style="3" customWidth="1"/>
    <col min="41" max="41" width="15.875" style="3" customWidth="1"/>
    <col min="42" max="42" width="14.875" style="3" customWidth="1"/>
    <col min="43" max="43" width="13.875" style="3" customWidth="1"/>
    <col min="44" max="44" width="10.25390625" style="3" customWidth="1"/>
    <col min="45" max="45" width="11.625" style="3" hidden="1" customWidth="1"/>
    <col min="46" max="46" width="15.625" style="3" hidden="1" customWidth="1"/>
    <col min="47" max="47" width="16.125" style="3" customWidth="1"/>
    <col min="48" max="48" width="14.75390625" style="3" customWidth="1"/>
    <col min="49" max="49" width="13.625" style="3" customWidth="1"/>
    <col min="50" max="50" width="9.75390625" style="3" customWidth="1"/>
    <col min="51" max="51" width="18.25390625" style="3" customWidth="1"/>
    <col min="52" max="52" width="16.25390625" style="3" customWidth="1"/>
    <col min="53" max="53" width="18.75390625" style="3" customWidth="1"/>
    <col min="54" max="54" width="11.375" style="3" customWidth="1"/>
    <col min="55" max="55" width="10.375" style="3" customWidth="1"/>
    <col min="56" max="56" width="15.625" style="3" customWidth="1"/>
    <col min="57" max="57" width="14.125" style="3" customWidth="1"/>
    <col min="58" max="58" width="12.625" style="3" customWidth="1"/>
    <col min="59" max="59" width="10.375" style="3" customWidth="1"/>
    <col min="60" max="60" width="0.2421875" style="3" customWidth="1"/>
    <col min="61" max="61" width="10.625" style="3" hidden="1" customWidth="1"/>
    <col min="62" max="62" width="12.375" style="3" hidden="1" customWidth="1"/>
    <col min="63" max="63" width="16.875" style="3" customWidth="1"/>
    <col min="64" max="64" width="17.125" style="3" customWidth="1"/>
    <col min="65" max="65" width="13.75390625" style="3" customWidth="1"/>
    <col min="66" max="66" width="13.25390625" style="3" customWidth="1"/>
    <col min="67" max="67" width="13.625" style="3" customWidth="1"/>
    <col min="68" max="68" width="18.125" style="3" customWidth="1"/>
    <col min="69" max="69" width="12.00390625" style="3" customWidth="1"/>
    <col min="70" max="70" width="13.125" style="3" customWidth="1"/>
    <col min="71" max="71" width="10.375" style="3" customWidth="1"/>
    <col min="72" max="72" width="20.625" style="3" customWidth="1"/>
    <col min="73" max="73" width="12.125" style="3" customWidth="1"/>
    <col min="74" max="74" width="9.375" style="3" customWidth="1"/>
    <col min="75" max="75" width="19.25390625" style="3" customWidth="1"/>
    <col min="76" max="76" width="13.125" style="3" customWidth="1"/>
    <col min="77" max="77" width="13.75390625" style="3" customWidth="1"/>
    <col min="78" max="78" width="11.625" style="3" customWidth="1"/>
    <col min="79" max="79" width="14.00390625" style="3" customWidth="1"/>
    <col min="80" max="80" width="11.375" style="3" customWidth="1"/>
    <col min="81" max="81" width="15.625" style="3" customWidth="1"/>
    <col min="82" max="82" width="12.625" style="3" customWidth="1"/>
    <col min="83" max="83" width="10.00390625" style="3" customWidth="1"/>
    <col min="84" max="84" width="9.125" style="3" customWidth="1"/>
    <col min="85" max="85" width="13.75390625" style="3" customWidth="1"/>
    <col min="86" max="86" width="9.375" style="3" customWidth="1"/>
    <col min="87" max="87" width="11.375" style="3" customWidth="1"/>
    <col min="88" max="88" width="12.25390625" style="3" customWidth="1"/>
    <col min="89" max="89" width="15.75390625" style="3" customWidth="1"/>
    <col min="90" max="90" width="12.25390625" style="3" customWidth="1"/>
    <col min="91" max="91" width="17.875" style="3" customWidth="1"/>
    <col min="92" max="92" width="13.625" style="3" customWidth="1"/>
    <col min="93" max="93" width="10.25390625" style="3" customWidth="1"/>
    <col min="94" max="94" width="10.125" style="3" customWidth="1"/>
    <col min="95" max="95" width="13.00390625" style="3" customWidth="1"/>
    <col min="96" max="96" width="11.375" style="3" customWidth="1"/>
    <col min="97" max="97" width="18.125" style="3" customWidth="1"/>
    <col min="98" max="98" width="21.75390625" style="3" customWidth="1"/>
    <col min="99" max="99" width="16.375" style="3" customWidth="1"/>
    <col min="100" max="100" width="16.625" style="3" customWidth="1"/>
    <col min="101" max="101" width="19.375" style="3" customWidth="1"/>
    <col min="102" max="102" width="14.25390625" style="3" customWidth="1"/>
    <col min="103" max="103" width="16.375" style="3" customWidth="1"/>
    <col min="104" max="104" width="15.25390625" style="3" customWidth="1"/>
    <col min="105" max="105" width="16.00390625" style="3" customWidth="1"/>
    <col min="106" max="107" width="14.875" style="3" customWidth="1"/>
    <col min="108" max="108" width="16.625" style="3" customWidth="1"/>
    <col min="109" max="109" width="14.875" style="3" customWidth="1"/>
    <col min="110" max="110" width="13.125" style="3" customWidth="1"/>
    <col min="111" max="111" width="14.375" style="3" customWidth="1"/>
    <col min="112" max="112" width="14.00390625" style="3" customWidth="1"/>
    <col min="113" max="113" width="13.875" style="3" customWidth="1"/>
    <col min="114" max="116" width="15.25390625" style="3" customWidth="1"/>
    <col min="117" max="117" width="13.625" style="3" customWidth="1"/>
    <col min="118" max="118" width="12.875" style="3" customWidth="1"/>
    <col min="119" max="119" width="12.375" style="3" customWidth="1"/>
    <col min="120" max="120" width="9.75390625" style="3" customWidth="1"/>
    <col min="121" max="121" width="12.75390625" style="3" customWidth="1"/>
    <col min="122" max="122" width="9.875" style="3" customWidth="1"/>
    <col min="123" max="123" width="13.25390625" style="3" customWidth="1"/>
    <col min="124" max="124" width="9.875" style="3" customWidth="1"/>
    <col min="125" max="125" width="15.625" style="3" customWidth="1"/>
    <col min="126" max="126" width="12.375" style="3" customWidth="1"/>
    <col min="127" max="127" width="0.12890625" style="3" customWidth="1"/>
    <col min="128" max="128" width="12.125" style="3" customWidth="1"/>
    <col min="129" max="129" width="12.375" style="3" customWidth="1"/>
    <col min="130" max="130" width="7.75390625" style="3" customWidth="1"/>
    <col min="131" max="131" width="12.875" style="3" customWidth="1"/>
    <col min="132" max="132" width="9.375" style="3" customWidth="1"/>
    <col min="133" max="133" width="0.12890625" style="3" customWidth="1"/>
    <col min="134" max="134" width="12.875" style="3" customWidth="1"/>
    <col min="135" max="135" width="9.375" style="3" customWidth="1"/>
    <col min="136" max="136" width="11.00390625" style="3" customWidth="1"/>
    <col min="137" max="137" width="12.625" style="3" customWidth="1"/>
    <col min="138" max="138" width="9.75390625" style="3" customWidth="1"/>
    <col min="139" max="139" width="9.375" style="3" customWidth="1"/>
    <col min="140" max="140" width="12.875" style="3" customWidth="1"/>
    <col min="141" max="141" width="12.625" style="3" customWidth="1"/>
    <col min="142" max="142" width="8.00390625" style="3" customWidth="1"/>
    <col min="143" max="143" width="7.75390625" style="3" customWidth="1"/>
    <col min="144" max="144" width="7.00390625" style="3" customWidth="1"/>
    <col min="145" max="145" width="5.625" style="3" customWidth="1"/>
    <col min="146" max="146" width="14.00390625" style="3" customWidth="1"/>
    <col min="147" max="147" width="11.25390625" style="3" customWidth="1"/>
    <col min="148" max="148" width="17.25390625" style="3" customWidth="1"/>
    <col min="149" max="149" width="10.75390625" style="3" customWidth="1"/>
    <col min="150" max="150" width="14.25390625" style="3" customWidth="1"/>
    <col min="151" max="151" width="16.125" style="3" bestFit="1" customWidth="1"/>
    <col min="152" max="152" width="0.875" style="3" customWidth="1"/>
    <col min="153" max="155" width="9.125" style="3" hidden="1" customWidth="1"/>
    <col min="156" max="157" width="9.125" style="3" customWidth="1"/>
    <col min="158" max="158" width="13.375" style="3" customWidth="1"/>
    <col min="159" max="16384" width="9.125" style="3" customWidth="1"/>
  </cols>
  <sheetData>
    <row r="1" ht="15.75"/>
    <row r="2" spans="2:147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7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</row>
    <row r="4" spans="1:150" ht="15.75" customHeight="1" thickTop="1">
      <c r="A4" s="794" t="s">
        <v>1</v>
      </c>
      <c r="B4" s="797" t="s">
        <v>2</v>
      </c>
      <c r="C4" s="786" t="s">
        <v>3</v>
      </c>
      <c r="D4" s="786"/>
      <c r="E4" s="786" t="s">
        <v>4</v>
      </c>
      <c r="F4" s="800"/>
      <c r="G4" s="792" t="s">
        <v>181</v>
      </c>
      <c r="H4" s="792"/>
      <c r="I4" s="792"/>
      <c r="J4" s="792"/>
      <c r="K4" s="792" t="s">
        <v>6</v>
      </c>
      <c r="L4" s="792"/>
      <c r="M4" s="792"/>
      <c r="N4" s="792"/>
      <c r="O4" s="792" t="s">
        <v>7</v>
      </c>
      <c r="P4" s="792"/>
      <c r="Q4" s="792"/>
      <c r="R4" s="792"/>
      <c r="S4" s="792" t="s">
        <v>8</v>
      </c>
      <c r="T4" s="792"/>
      <c r="U4" s="792"/>
      <c r="V4" s="792"/>
      <c r="W4" s="792"/>
      <c r="X4" s="792" t="s">
        <v>9</v>
      </c>
      <c r="Y4" s="792"/>
      <c r="Z4" s="792"/>
      <c r="AA4" s="792"/>
      <c r="AB4" s="792" t="s">
        <v>172</v>
      </c>
      <c r="AC4" s="792"/>
      <c r="AD4" s="792"/>
      <c r="AE4" s="792"/>
      <c r="AF4" s="792" t="s">
        <v>10</v>
      </c>
      <c r="AG4" s="792"/>
      <c r="AH4" s="792"/>
      <c r="AI4" s="792"/>
      <c r="AJ4" s="792"/>
      <c r="AK4" s="792" t="s">
        <v>11</v>
      </c>
      <c r="AL4" s="792"/>
      <c r="AM4" s="792"/>
      <c r="AN4" s="792"/>
      <c r="AO4" s="790" t="s">
        <v>12</v>
      </c>
      <c r="AP4" s="790"/>
      <c r="AQ4" s="790"/>
      <c r="AR4" s="790"/>
      <c r="AS4" s="513"/>
      <c r="AT4" s="513"/>
      <c r="AU4" s="790" t="s">
        <v>13</v>
      </c>
      <c r="AV4" s="790"/>
      <c r="AW4" s="790"/>
      <c r="AX4" s="790"/>
      <c r="AY4" s="790" t="s">
        <v>14</v>
      </c>
      <c r="AZ4" s="790"/>
      <c r="BA4" s="790"/>
      <c r="BB4" s="790"/>
      <c r="BC4" s="790"/>
      <c r="BD4" s="790" t="s">
        <v>15</v>
      </c>
      <c r="BE4" s="790"/>
      <c r="BF4" s="790"/>
      <c r="BG4" s="790"/>
      <c r="BH4" s="435"/>
      <c r="BI4" s="435"/>
      <c r="BJ4" s="435"/>
      <c r="BK4" s="790" t="s">
        <v>16</v>
      </c>
      <c r="BL4" s="790"/>
      <c r="BM4" s="790"/>
      <c r="BN4" s="790"/>
      <c r="BO4" s="790" t="s">
        <v>188</v>
      </c>
      <c r="BP4" s="790"/>
      <c r="BQ4" s="790"/>
      <c r="BR4" s="790"/>
      <c r="BS4" s="790"/>
      <c r="BT4" s="790" t="s">
        <v>173</v>
      </c>
      <c r="BU4" s="790"/>
      <c r="BV4" s="790"/>
      <c r="BW4" s="791" t="s">
        <v>19</v>
      </c>
      <c r="BX4" s="791"/>
      <c r="BY4" s="792" t="s">
        <v>20</v>
      </c>
      <c r="BZ4" s="792"/>
      <c r="CA4" s="792"/>
      <c r="CB4" s="792"/>
      <c r="CC4" s="792"/>
      <c r="CD4" s="792"/>
      <c r="CE4" s="792"/>
      <c r="CF4" s="792"/>
      <c r="CG4" s="792"/>
      <c r="CH4" s="792"/>
      <c r="CI4" s="792"/>
      <c r="CJ4" s="792"/>
      <c r="CK4" s="792"/>
      <c r="CL4" s="792"/>
      <c r="CM4" s="792"/>
      <c r="CN4" s="792"/>
      <c r="CO4" s="792" t="s">
        <v>21</v>
      </c>
      <c r="CP4" s="792"/>
      <c r="CQ4" s="792"/>
      <c r="CR4" s="792"/>
      <c r="CS4" s="792"/>
      <c r="CT4" s="792"/>
      <c r="CU4" s="792"/>
      <c r="CV4" s="792"/>
      <c r="CW4" s="792"/>
      <c r="CX4" s="792"/>
      <c r="CY4" s="792"/>
      <c r="CZ4" s="792"/>
      <c r="DA4" s="792"/>
      <c r="DB4" s="792"/>
      <c r="DC4" s="792"/>
      <c r="DD4" s="792"/>
      <c r="DE4" s="792" t="s">
        <v>22</v>
      </c>
      <c r="DF4" s="792"/>
      <c r="DG4" s="792"/>
      <c r="DH4" s="792"/>
      <c r="DI4" s="792"/>
      <c r="DJ4" s="792"/>
      <c r="DK4" s="792"/>
      <c r="DL4" s="792"/>
      <c r="DM4" s="792"/>
      <c r="DN4" s="792"/>
      <c r="DO4" s="792"/>
      <c r="DP4" s="792"/>
      <c r="DQ4" s="786" t="s">
        <v>23</v>
      </c>
      <c r="DR4" s="786"/>
      <c r="DS4" s="786" t="s">
        <v>24</v>
      </c>
      <c r="DT4" s="786"/>
      <c r="DU4" s="786" t="s">
        <v>25</v>
      </c>
      <c r="DV4" s="786"/>
      <c r="DW4" s="786" t="s">
        <v>26</v>
      </c>
      <c r="DX4" s="786"/>
      <c r="DY4" s="786"/>
      <c r="DZ4" s="786" t="s">
        <v>27</v>
      </c>
      <c r="EA4" s="786"/>
      <c r="EB4" s="786"/>
      <c r="EC4" s="786" t="s">
        <v>28</v>
      </c>
      <c r="ED4" s="786"/>
      <c r="EE4" s="786"/>
      <c r="EF4" s="786" t="s">
        <v>29</v>
      </c>
      <c r="EG4" s="786"/>
      <c r="EH4" s="786"/>
      <c r="EI4" s="786" t="s">
        <v>30</v>
      </c>
      <c r="EJ4" s="786"/>
      <c r="EK4" s="786"/>
      <c r="EL4" s="786" t="s">
        <v>31</v>
      </c>
      <c r="EM4" s="786"/>
      <c r="EN4" s="786"/>
      <c r="EO4" s="786" t="s">
        <v>160</v>
      </c>
      <c r="EP4" s="786"/>
      <c r="EQ4" s="786"/>
      <c r="ER4" s="788" t="s">
        <v>32</v>
      </c>
      <c r="ES4" s="788"/>
      <c r="ET4" s="789"/>
    </row>
    <row r="5" spans="1:150" s="11" customFormat="1" ht="15.75">
      <c r="A5" s="795"/>
      <c r="B5" s="798"/>
      <c r="C5" s="787"/>
      <c r="D5" s="787"/>
      <c r="E5" s="801"/>
      <c r="F5" s="801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83"/>
      <c r="AP5" s="783"/>
      <c r="AQ5" s="783"/>
      <c r="AR5" s="783"/>
      <c r="AS5" s="514"/>
      <c r="AT5" s="514"/>
      <c r="AU5" s="783"/>
      <c r="AV5" s="783"/>
      <c r="AW5" s="783"/>
      <c r="AX5" s="783"/>
      <c r="AY5" s="783"/>
      <c r="AZ5" s="783"/>
      <c r="BA5" s="783"/>
      <c r="BB5" s="783"/>
      <c r="BC5" s="783"/>
      <c r="BD5" s="783"/>
      <c r="BE5" s="783"/>
      <c r="BF5" s="783"/>
      <c r="BG5" s="783"/>
      <c r="BH5" s="436"/>
      <c r="BI5" s="436"/>
      <c r="BJ5" s="436"/>
      <c r="BK5" s="783"/>
      <c r="BL5" s="783"/>
      <c r="BM5" s="783"/>
      <c r="BN5" s="783"/>
      <c r="BO5" s="783"/>
      <c r="BP5" s="783"/>
      <c r="BQ5" s="783"/>
      <c r="BR5" s="783"/>
      <c r="BS5" s="783"/>
      <c r="BT5" s="783"/>
      <c r="BU5" s="783"/>
      <c r="BV5" s="783"/>
      <c r="BW5" s="782"/>
      <c r="BX5" s="782"/>
      <c r="BY5" s="793"/>
      <c r="BZ5" s="793"/>
      <c r="CA5" s="793"/>
      <c r="CB5" s="793"/>
      <c r="CC5" s="793"/>
      <c r="CD5" s="793"/>
      <c r="CE5" s="793"/>
      <c r="CF5" s="793"/>
      <c r="CG5" s="793"/>
      <c r="CH5" s="793"/>
      <c r="CI5" s="793"/>
      <c r="CJ5" s="793"/>
      <c r="CK5" s="793"/>
      <c r="CL5" s="793"/>
      <c r="CM5" s="793"/>
      <c r="CN5" s="793"/>
      <c r="CO5" s="793"/>
      <c r="CP5" s="793"/>
      <c r="CQ5" s="793"/>
      <c r="CR5" s="793"/>
      <c r="CS5" s="793"/>
      <c r="CT5" s="793"/>
      <c r="CU5" s="793"/>
      <c r="CV5" s="793"/>
      <c r="CW5" s="793"/>
      <c r="CX5" s="793"/>
      <c r="CY5" s="793"/>
      <c r="CZ5" s="793"/>
      <c r="DA5" s="793"/>
      <c r="DB5" s="793"/>
      <c r="DC5" s="793"/>
      <c r="DD5" s="793"/>
      <c r="DE5" s="793"/>
      <c r="DF5" s="793"/>
      <c r="DG5" s="793"/>
      <c r="DH5" s="793"/>
      <c r="DI5" s="793"/>
      <c r="DJ5" s="793"/>
      <c r="DK5" s="793"/>
      <c r="DL5" s="793"/>
      <c r="DM5" s="793"/>
      <c r="DN5" s="793"/>
      <c r="DO5" s="793"/>
      <c r="DP5" s="793"/>
      <c r="DQ5" s="787"/>
      <c r="DR5" s="787"/>
      <c r="DS5" s="787"/>
      <c r="DT5" s="787"/>
      <c r="DU5" s="787"/>
      <c r="DV5" s="787"/>
      <c r="DW5" s="787"/>
      <c r="DX5" s="787"/>
      <c r="DY5" s="787"/>
      <c r="DZ5" s="787"/>
      <c r="EA5" s="787"/>
      <c r="EB5" s="787"/>
      <c r="EC5" s="787"/>
      <c r="ED5" s="787"/>
      <c r="EE5" s="787"/>
      <c r="EF5" s="787"/>
      <c r="EG5" s="787"/>
      <c r="EH5" s="787"/>
      <c r="EI5" s="787"/>
      <c r="EJ5" s="787"/>
      <c r="EK5" s="787"/>
      <c r="EL5" s="787"/>
      <c r="EM5" s="787"/>
      <c r="EN5" s="787"/>
      <c r="EO5" s="787"/>
      <c r="EP5" s="787"/>
      <c r="EQ5" s="787"/>
      <c r="ER5" s="772"/>
      <c r="ES5" s="772"/>
      <c r="ET5" s="776"/>
    </row>
    <row r="6" spans="1:150" s="16" customFormat="1" ht="111" customHeight="1">
      <c r="A6" s="795"/>
      <c r="B6" s="798"/>
      <c r="C6" s="787"/>
      <c r="D6" s="787"/>
      <c r="E6" s="801"/>
      <c r="F6" s="801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83"/>
      <c r="AP6" s="783"/>
      <c r="AQ6" s="783"/>
      <c r="AR6" s="783"/>
      <c r="AS6" s="514"/>
      <c r="AT6" s="514"/>
      <c r="AU6" s="783"/>
      <c r="AV6" s="783"/>
      <c r="AW6" s="783"/>
      <c r="AX6" s="783"/>
      <c r="AY6" s="783"/>
      <c r="AZ6" s="783"/>
      <c r="BA6" s="783"/>
      <c r="BB6" s="783"/>
      <c r="BC6" s="783"/>
      <c r="BD6" s="783"/>
      <c r="BE6" s="783"/>
      <c r="BF6" s="783"/>
      <c r="BG6" s="783"/>
      <c r="BH6" s="436"/>
      <c r="BI6" s="436"/>
      <c r="BJ6" s="436"/>
      <c r="BK6" s="783"/>
      <c r="BL6" s="783"/>
      <c r="BM6" s="783"/>
      <c r="BN6" s="783"/>
      <c r="BO6" s="783"/>
      <c r="BP6" s="783"/>
      <c r="BQ6" s="783"/>
      <c r="BR6" s="783"/>
      <c r="BS6" s="783"/>
      <c r="BT6" s="783"/>
      <c r="BU6" s="783"/>
      <c r="BV6" s="783"/>
      <c r="BW6" s="782"/>
      <c r="BX6" s="782"/>
      <c r="BY6" s="793"/>
      <c r="BZ6" s="793"/>
      <c r="CA6" s="793"/>
      <c r="CB6" s="793"/>
      <c r="CC6" s="793"/>
      <c r="CD6" s="793"/>
      <c r="CE6" s="793"/>
      <c r="CF6" s="793"/>
      <c r="CG6" s="793"/>
      <c r="CH6" s="793"/>
      <c r="CI6" s="793"/>
      <c r="CJ6" s="793"/>
      <c r="CK6" s="793"/>
      <c r="CL6" s="793"/>
      <c r="CM6" s="793"/>
      <c r="CN6" s="793"/>
      <c r="CO6" s="793"/>
      <c r="CP6" s="793"/>
      <c r="CQ6" s="793"/>
      <c r="CR6" s="793"/>
      <c r="CS6" s="793"/>
      <c r="CT6" s="793"/>
      <c r="CU6" s="793"/>
      <c r="CV6" s="793"/>
      <c r="CW6" s="793"/>
      <c r="CX6" s="793"/>
      <c r="CY6" s="793"/>
      <c r="CZ6" s="793"/>
      <c r="DA6" s="793"/>
      <c r="DB6" s="793"/>
      <c r="DC6" s="793"/>
      <c r="DD6" s="793"/>
      <c r="DE6" s="793"/>
      <c r="DF6" s="793"/>
      <c r="DG6" s="793"/>
      <c r="DH6" s="793"/>
      <c r="DI6" s="793"/>
      <c r="DJ6" s="793"/>
      <c r="DK6" s="793"/>
      <c r="DL6" s="793"/>
      <c r="DM6" s="793"/>
      <c r="DN6" s="793"/>
      <c r="DO6" s="793"/>
      <c r="DP6" s="793"/>
      <c r="DQ6" s="787"/>
      <c r="DR6" s="787"/>
      <c r="DS6" s="787"/>
      <c r="DT6" s="787"/>
      <c r="DU6" s="787"/>
      <c r="DV6" s="787"/>
      <c r="DW6" s="787"/>
      <c r="DX6" s="787"/>
      <c r="DY6" s="787"/>
      <c r="DZ6" s="787"/>
      <c r="EA6" s="787"/>
      <c r="EB6" s="787"/>
      <c r="EC6" s="787"/>
      <c r="ED6" s="787"/>
      <c r="EE6" s="787"/>
      <c r="EF6" s="787"/>
      <c r="EG6" s="787"/>
      <c r="EH6" s="787"/>
      <c r="EI6" s="787"/>
      <c r="EJ6" s="787"/>
      <c r="EK6" s="787"/>
      <c r="EL6" s="787"/>
      <c r="EM6" s="787"/>
      <c r="EN6" s="787"/>
      <c r="EO6" s="787"/>
      <c r="EP6" s="787"/>
      <c r="EQ6" s="787"/>
      <c r="ER6" s="772"/>
      <c r="ES6" s="772"/>
      <c r="ET6" s="776"/>
    </row>
    <row r="7" spans="1:150" s="16" customFormat="1" ht="15.75">
      <c r="A7" s="795"/>
      <c r="B7" s="798"/>
      <c r="C7" s="772" t="s">
        <v>33</v>
      </c>
      <c r="D7" s="772"/>
      <c r="E7" s="772" t="s">
        <v>34</v>
      </c>
      <c r="F7" s="772"/>
      <c r="G7" s="772" t="s">
        <v>35</v>
      </c>
      <c r="H7" s="772"/>
      <c r="I7" s="772"/>
      <c r="J7" s="772"/>
      <c r="K7" s="783" t="s">
        <v>36</v>
      </c>
      <c r="L7" s="783"/>
      <c r="M7" s="783"/>
      <c r="N7" s="783"/>
      <c r="O7" s="783" t="s">
        <v>37</v>
      </c>
      <c r="P7" s="783"/>
      <c r="Q7" s="783"/>
      <c r="R7" s="783"/>
      <c r="S7" s="783" t="s">
        <v>38</v>
      </c>
      <c r="T7" s="783"/>
      <c r="U7" s="783"/>
      <c r="V7" s="783"/>
      <c r="W7" s="783"/>
      <c r="X7" s="783" t="s">
        <v>39</v>
      </c>
      <c r="Y7" s="783"/>
      <c r="Z7" s="783"/>
      <c r="AA7" s="783"/>
      <c r="AB7" s="783" t="s">
        <v>40</v>
      </c>
      <c r="AC7" s="783"/>
      <c r="AD7" s="783"/>
      <c r="AE7" s="783"/>
      <c r="AF7" s="783" t="s">
        <v>41</v>
      </c>
      <c r="AG7" s="783"/>
      <c r="AH7" s="783"/>
      <c r="AI7" s="783"/>
      <c r="AJ7" s="783"/>
      <c r="AK7" s="783" t="s">
        <v>42</v>
      </c>
      <c r="AL7" s="783"/>
      <c r="AM7" s="783"/>
      <c r="AN7" s="783"/>
      <c r="AO7" s="783" t="s">
        <v>43</v>
      </c>
      <c r="AP7" s="783"/>
      <c r="AQ7" s="783"/>
      <c r="AR7" s="783"/>
      <c r="AS7" s="436"/>
      <c r="AT7" s="436"/>
      <c r="AU7" s="783" t="s">
        <v>44</v>
      </c>
      <c r="AV7" s="783"/>
      <c r="AW7" s="783"/>
      <c r="AX7" s="783"/>
      <c r="AY7" s="783" t="s">
        <v>45</v>
      </c>
      <c r="AZ7" s="783"/>
      <c r="BA7" s="783"/>
      <c r="BB7" s="783"/>
      <c r="BC7" s="783"/>
      <c r="BD7" s="783" t="s">
        <v>46</v>
      </c>
      <c r="BE7" s="783"/>
      <c r="BF7" s="783"/>
      <c r="BG7" s="783"/>
      <c r="BH7" s="436"/>
      <c r="BI7" s="436"/>
      <c r="BJ7" s="436"/>
      <c r="BK7" s="783" t="s">
        <v>47</v>
      </c>
      <c r="BL7" s="783"/>
      <c r="BM7" s="783"/>
      <c r="BN7" s="783"/>
      <c r="BO7" s="783" t="s">
        <v>48</v>
      </c>
      <c r="BP7" s="783"/>
      <c r="BQ7" s="783"/>
      <c r="BR7" s="783"/>
      <c r="BS7" s="783"/>
      <c r="BT7" s="783" t="s">
        <v>49</v>
      </c>
      <c r="BU7" s="783"/>
      <c r="BV7" s="783"/>
      <c r="BW7" s="772" t="s">
        <v>50</v>
      </c>
      <c r="BX7" s="772"/>
      <c r="BY7" s="772" t="s">
        <v>51</v>
      </c>
      <c r="BZ7" s="772"/>
      <c r="CA7" s="772"/>
      <c r="CB7" s="772"/>
      <c r="CC7" s="772"/>
      <c r="CD7" s="772"/>
      <c r="CE7" s="772"/>
      <c r="CF7" s="772"/>
      <c r="CG7" s="772"/>
      <c r="CH7" s="772"/>
      <c r="CI7" s="772"/>
      <c r="CJ7" s="772"/>
      <c r="CK7" s="772"/>
      <c r="CL7" s="772"/>
      <c r="CM7" s="772"/>
      <c r="CN7" s="772"/>
      <c r="CO7" s="772" t="s">
        <v>52</v>
      </c>
      <c r="CP7" s="772"/>
      <c r="CQ7" s="772"/>
      <c r="CR7" s="772"/>
      <c r="CS7" s="772"/>
      <c r="CT7" s="772"/>
      <c r="CU7" s="772"/>
      <c r="CV7" s="772"/>
      <c r="CW7" s="772"/>
      <c r="CX7" s="772"/>
      <c r="CY7" s="772"/>
      <c r="CZ7" s="772"/>
      <c r="DA7" s="772"/>
      <c r="DB7" s="772"/>
      <c r="DC7" s="772"/>
      <c r="DD7" s="772"/>
      <c r="DE7" s="772" t="s">
        <v>53</v>
      </c>
      <c r="DF7" s="772"/>
      <c r="DG7" s="772"/>
      <c r="DH7" s="772"/>
      <c r="DI7" s="772"/>
      <c r="DJ7" s="772"/>
      <c r="DK7" s="772"/>
      <c r="DL7" s="772"/>
      <c r="DM7" s="772"/>
      <c r="DN7" s="772"/>
      <c r="DO7" s="772"/>
      <c r="DP7" s="772"/>
      <c r="DQ7" s="772" t="s">
        <v>54</v>
      </c>
      <c r="DR7" s="772"/>
      <c r="DS7" s="772" t="s">
        <v>55</v>
      </c>
      <c r="DT7" s="772"/>
      <c r="DU7" s="772" t="s">
        <v>56</v>
      </c>
      <c r="DV7" s="772"/>
      <c r="DW7" s="772" t="s">
        <v>57</v>
      </c>
      <c r="DX7" s="772"/>
      <c r="DY7" s="772"/>
      <c r="DZ7" s="772" t="s">
        <v>58</v>
      </c>
      <c r="EA7" s="772"/>
      <c r="EB7" s="772"/>
      <c r="EC7" s="772" t="s">
        <v>59</v>
      </c>
      <c r="ED7" s="772"/>
      <c r="EE7" s="772"/>
      <c r="EF7" s="772" t="s">
        <v>60</v>
      </c>
      <c r="EG7" s="772"/>
      <c r="EH7" s="772"/>
      <c r="EI7" s="772" t="s">
        <v>61</v>
      </c>
      <c r="EJ7" s="772"/>
      <c r="EK7" s="772"/>
      <c r="EL7" s="772" t="s">
        <v>63</v>
      </c>
      <c r="EM7" s="772"/>
      <c r="EN7" s="772"/>
      <c r="EO7" s="772" t="s">
        <v>62</v>
      </c>
      <c r="EP7" s="772"/>
      <c r="EQ7" s="772"/>
      <c r="ER7" s="772"/>
      <c r="ES7" s="772"/>
      <c r="ET7" s="776"/>
    </row>
    <row r="8" spans="1:155" s="16" customFormat="1" ht="79.5" customHeight="1">
      <c r="A8" s="795"/>
      <c r="B8" s="798"/>
      <c r="C8" s="772" t="s">
        <v>64</v>
      </c>
      <c r="D8" s="778" t="s">
        <v>65</v>
      </c>
      <c r="E8" s="772" t="s">
        <v>64</v>
      </c>
      <c r="F8" s="778" t="s">
        <v>65</v>
      </c>
      <c r="G8" s="772" t="s">
        <v>66</v>
      </c>
      <c r="H8" s="772" t="s">
        <v>67</v>
      </c>
      <c r="I8" s="772" t="s">
        <v>64</v>
      </c>
      <c r="J8" s="778" t="s">
        <v>65</v>
      </c>
      <c r="K8" s="772" t="s">
        <v>67</v>
      </c>
      <c r="L8" s="772" t="s">
        <v>68</v>
      </c>
      <c r="M8" s="772" t="s">
        <v>64</v>
      </c>
      <c r="N8" s="778" t="s">
        <v>65</v>
      </c>
      <c r="O8" s="772" t="s">
        <v>67</v>
      </c>
      <c r="P8" s="772" t="s">
        <v>69</v>
      </c>
      <c r="Q8" s="772" t="s">
        <v>64</v>
      </c>
      <c r="R8" s="778" t="s">
        <v>65</v>
      </c>
      <c r="S8" s="772" t="s">
        <v>70</v>
      </c>
      <c r="T8" s="772" t="s">
        <v>182</v>
      </c>
      <c r="U8" s="772" t="s">
        <v>186</v>
      </c>
      <c r="V8" s="772" t="s">
        <v>64</v>
      </c>
      <c r="W8" s="778" t="s">
        <v>65</v>
      </c>
      <c r="X8" s="772" t="s">
        <v>72</v>
      </c>
      <c r="Y8" s="772" t="s">
        <v>73</v>
      </c>
      <c r="Z8" s="772" t="s">
        <v>64</v>
      </c>
      <c r="AA8" s="778" t="s">
        <v>65</v>
      </c>
      <c r="AB8" s="772" t="s">
        <v>74</v>
      </c>
      <c r="AC8" s="772" t="s">
        <v>75</v>
      </c>
      <c r="AD8" s="772" t="s">
        <v>64</v>
      </c>
      <c r="AE8" s="778" t="s">
        <v>65</v>
      </c>
      <c r="AF8" s="772" t="s">
        <v>76</v>
      </c>
      <c r="AG8" s="772" t="s">
        <v>77</v>
      </c>
      <c r="AH8" s="772" t="s">
        <v>78</v>
      </c>
      <c r="AI8" s="772" t="s">
        <v>64</v>
      </c>
      <c r="AJ8" s="778" t="s">
        <v>65</v>
      </c>
      <c r="AK8" s="772" t="s">
        <v>191</v>
      </c>
      <c r="AL8" s="772" t="s">
        <v>192</v>
      </c>
      <c r="AM8" s="772" t="s">
        <v>64</v>
      </c>
      <c r="AN8" s="778" t="s">
        <v>65</v>
      </c>
      <c r="AO8" s="772" t="s">
        <v>79</v>
      </c>
      <c r="AP8" s="772" t="s">
        <v>80</v>
      </c>
      <c r="AQ8" s="772" t="s">
        <v>64</v>
      </c>
      <c r="AR8" s="778" t="s">
        <v>81</v>
      </c>
      <c r="AS8" s="436"/>
      <c r="AT8" s="772" t="s">
        <v>82</v>
      </c>
      <c r="AU8" s="772" t="s">
        <v>82</v>
      </c>
      <c r="AV8" s="772" t="s">
        <v>83</v>
      </c>
      <c r="AW8" s="772" t="s">
        <v>64</v>
      </c>
      <c r="AX8" s="778" t="s">
        <v>65</v>
      </c>
      <c r="AY8" s="772" t="s">
        <v>84</v>
      </c>
      <c r="AZ8" s="772" t="s">
        <v>85</v>
      </c>
      <c r="BA8" s="772"/>
      <c r="BB8" s="772" t="s">
        <v>86</v>
      </c>
      <c r="BC8" s="772" t="s">
        <v>87</v>
      </c>
      <c r="BD8" s="772" t="s">
        <v>88</v>
      </c>
      <c r="BE8" s="772" t="s">
        <v>89</v>
      </c>
      <c r="BF8" s="772" t="s">
        <v>64</v>
      </c>
      <c r="BG8" s="778" t="s">
        <v>65</v>
      </c>
      <c r="BH8" s="437"/>
      <c r="BI8" s="437"/>
      <c r="BJ8" s="437"/>
      <c r="BK8" s="772" t="s">
        <v>90</v>
      </c>
      <c r="BL8" s="772" t="s">
        <v>91</v>
      </c>
      <c r="BM8" s="772" t="s">
        <v>64</v>
      </c>
      <c r="BN8" s="778" t="s">
        <v>65</v>
      </c>
      <c r="BO8" s="772" t="s">
        <v>92</v>
      </c>
      <c r="BP8" s="772" t="s">
        <v>93</v>
      </c>
      <c r="BQ8" s="772" t="s">
        <v>94</v>
      </c>
      <c r="BR8" s="772" t="s">
        <v>64</v>
      </c>
      <c r="BS8" s="778" t="s">
        <v>65</v>
      </c>
      <c r="BT8" s="772" t="s">
        <v>174</v>
      </c>
      <c r="BU8" s="772" t="s">
        <v>64</v>
      </c>
      <c r="BV8" s="778" t="s">
        <v>65</v>
      </c>
      <c r="BW8" s="772" t="s">
        <v>64</v>
      </c>
      <c r="BX8" s="781" t="s">
        <v>65</v>
      </c>
      <c r="BY8" s="782" t="s">
        <v>96</v>
      </c>
      <c r="BZ8" s="782"/>
      <c r="CA8" s="783" t="s">
        <v>176</v>
      </c>
      <c r="CB8" s="783"/>
      <c r="CC8" s="783" t="s">
        <v>97</v>
      </c>
      <c r="CD8" s="783"/>
      <c r="CE8" s="783" t="s">
        <v>179</v>
      </c>
      <c r="CF8" s="783"/>
      <c r="CG8" s="783" t="s">
        <v>190</v>
      </c>
      <c r="CH8" s="783"/>
      <c r="CI8" s="783" t="s">
        <v>180</v>
      </c>
      <c r="CJ8" s="783"/>
      <c r="CK8" s="783" t="s">
        <v>98</v>
      </c>
      <c r="CL8" s="783"/>
      <c r="CM8" s="772" t="s">
        <v>105</v>
      </c>
      <c r="CN8" s="772"/>
      <c r="CO8" s="772" t="s">
        <v>175</v>
      </c>
      <c r="CP8" s="772"/>
      <c r="CQ8" s="772"/>
      <c r="CR8" s="772"/>
      <c r="CS8" s="772" t="s">
        <v>157</v>
      </c>
      <c r="CT8" s="772"/>
      <c r="CU8" s="772" t="s">
        <v>153</v>
      </c>
      <c r="CV8" s="772"/>
      <c r="CW8" s="772" t="s">
        <v>162</v>
      </c>
      <c r="CX8" s="772"/>
      <c r="CY8" s="782" t="s">
        <v>177</v>
      </c>
      <c r="CZ8" s="782"/>
      <c r="DA8" s="772" t="s">
        <v>178</v>
      </c>
      <c r="DB8" s="772"/>
      <c r="DC8" s="772" t="s">
        <v>105</v>
      </c>
      <c r="DD8" s="772"/>
      <c r="DE8" s="780" t="s">
        <v>158</v>
      </c>
      <c r="DF8" s="780"/>
      <c r="DG8" s="780" t="s">
        <v>102</v>
      </c>
      <c r="DH8" s="780"/>
      <c r="DI8" s="783" t="s">
        <v>103</v>
      </c>
      <c r="DJ8" s="783"/>
      <c r="DK8" s="780" t="s">
        <v>183</v>
      </c>
      <c r="DL8" s="780"/>
      <c r="DM8" s="780" t="s">
        <v>104</v>
      </c>
      <c r="DN8" s="780"/>
      <c r="DO8" s="772" t="s">
        <v>105</v>
      </c>
      <c r="DP8" s="772"/>
      <c r="DQ8" s="772" t="s">
        <v>64</v>
      </c>
      <c r="DR8" s="778" t="s">
        <v>65</v>
      </c>
      <c r="DS8" s="772" t="s">
        <v>64</v>
      </c>
      <c r="DT8" s="778" t="s">
        <v>65</v>
      </c>
      <c r="DU8" s="772" t="s">
        <v>64</v>
      </c>
      <c r="DV8" s="772" t="s">
        <v>65</v>
      </c>
      <c r="DW8" s="772" t="s">
        <v>106</v>
      </c>
      <c r="DX8" s="772" t="s">
        <v>64</v>
      </c>
      <c r="DY8" s="772" t="s">
        <v>65</v>
      </c>
      <c r="DZ8" s="772" t="s">
        <v>106</v>
      </c>
      <c r="EA8" s="772" t="s">
        <v>64</v>
      </c>
      <c r="EB8" s="772" t="s">
        <v>65</v>
      </c>
      <c r="EC8" s="772" t="s">
        <v>106</v>
      </c>
      <c r="ED8" s="772" t="s">
        <v>64</v>
      </c>
      <c r="EE8" s="772" t="s">
        <v>65</v>
      </c>
      <c r="EF8" s="772" t="s">
        <v>106</v>
      </c>
      <c r="EG8" s="772" t="s">
        <v>64</v>
      </c>
      <c r="EH8" s="772" t="s">
        <v>65</v>
      </c>
      <c r="EI8" s="772" t="s">
        <v>106</v>
      </c>
      <c r="EJ8" s="772" t="s">
        <v>64</v>
      </c>
      <c r="EK8" s="772" t="s">
        <v>65</v>
      </c>
      <c r="EL8" s="772" t="s">
        <v>106</v>
      </c>
      <c r="EM8" s="772" t="s">
        <v>64</v>
      </c>
      <c r="EN8" s="772" t="s">
        <v>65</v>
      </c>
      <c r="EO8" s="772" t="s">
        <v>64</v>
      </c>
      <c r="EP8" s="436"/>
      <c r="EQ8" s="772" t="s">
        <v>65</v>
      </c>
      <c r="ER8" s="772" t="s">
        <v>107</v>
      </c>
      <c r="ES8" s="772" t="s">
        <v>108</v>
      </c>
      <c r="ET8" s="776" t="s">
        <v>110</v>
      </c>
      <c r="EV8" s="16" t="s">
        <v>107</v>
      </c>
      <c r="EW8" s="16" t="s">
        <v>108</v>
      </c>
      <c r="EX8" s="16" t="s">
        <v>109</v>
      </c>
      <c r="EY8" s="16" t="s">
        <v>110</v>
      </c>
    </row>
    <row r="9" spans="1:150" s="11" customFormat="1" ht="116.25" customHeight="1" thickBot="1">
      <c r="A9" s="796"/>
      <c r="B9" s="799"/>
      <c r="C9" s="773"/>
      <c r="D9" s="779"/>
      <c r="E9" s="773"/>
      <c r="F9" s="779"/>
      <c r="G9" s="773"/>
      <c r="H9" s="773"/>
      <c r="I9" s="773"/>
      <c r="J9" s="779"/>
      <c r="K9" s="773"/>
      <c r="L9" s="773"/>
      <c r="M9" s="773"/>
      <c r="N9" s="779"/>
      <c r="O9" s="773"/>
      <c r="P9" s="773"/>
      <c r="Q9" s="774"/>
      <c r="R9" s="779"/>
      <c r="S9" s="773"/>
      <c r="T9" s="774"/>
      <c r="U9" s="773"/>
      <c r="V9" s="773"/>
      <c r="W9" s="785"/>
      <c r="X9" s="774"/>
      <c r="Y9" s="773"/>
      <c r="Z9" s="773"/>
      <c r="AA9" s="785"/>
      <c r="AB9" s="773"/>
      <c r="AC9" s="773"/>
      <c r="AD9" s="773"/>
      <c r="AE9" s="785"/>
      <c r="AF9" s="773"/>
      <c r="AG9" s="773"/>
      <c r="AH9" s="773"/>
      <c r="AI9" s="774"/>
      <c r="AJ9" s="779"/>
      <c r="AK9" s="775"/>
      <c r="AL9" s="775"/>
      <c r="AM9" s="773"/>
      <c r="AN9" s="785"/>
      <c r="AO9" s="774"/>
      <c r="AP9" s="773"/>
      <c r="AQ9" s="774"/>
      <c r="AR9" s="779"/>
      <c r="AS9" s="438"/>
      <c r="AT9" s="773"/>
      <c r="AU9" s="773"/>
      <c r="AV9" s="773"/>
      <c r="AW9" s="773"/>
      <c r="AX9" s="779"/>
      <c r="AY9" s="773"/>
      <c r="AZ9" s="438" t="s">
        <v>111</v>
      </c>
      <c r="BA9" s="438" t="s">
        <v>112</v>
      </c>
      <c r="BB9" s="774"/>
      <c r="BC9" s="773"/>
      <c r="BD9" s="773"/>
      <c r="BE9" s="774"/>
      <c r="BF9" s="773"/>
      <c r="BG9" s="779"/>
      <c r="BH9" s="511"/>
      <c r="BI9" s="439"/>
      <c r="BJ9" s="439"/>
      <c r="BK9" s="773"/>
      <c r="BL9" s="774"/>
      <c r="BM9" s="774"/>
      <c r="BN9" s="779"/>
      <c r="BO9" s="774"/>
      <c r="BP9" s="774"/>
      <c r="BQ9" s="774"/>
      <c r="BR9" s="773"/>
      <c r="BS9" s="781"/>
      <c r="BT9" s="773"/>
      <c r="BU9" s="774"/>
      <c r="BV9" s="779"/>
      <c r="BW9" s="774"/>
      <c r="BX9" s="784"/>
      <c r="BY9" s="512" t="s">
        <v>113</v>
      </c>
      <c r="BZ9" s="512" t="s">
        <v>65</v>
      </c>
      <c r="CA9" s="438" t="s">
        <v>113</v>
      </c>
      <c r="CB9" s="499" t="s">
        <v>65</v>
      </c>
      <c r="CC9" s="438" t="s">
        <v>113</v>
      </c>
      <c r="CD9" s="499" t="s">
        <v>65</v>
      </c>
      <c r="CE9" s="438" t="s">
        <v>113</v>
      </c>
      <c r="CF9" s="438" t="s">
        <v>65</v>
      </c>
      <c r="CG9" s="438" t="s">
        <v>113</v>
      </c>
      <c r="CH9" s="438" t="s">
        <v>65</v>
      </c>
      <c r="CI9" s="438" t="s">
        <v>113</v>
      </c>
      <c r="CJ9" s="438" t="s">
        <v>65</v>
      </c>
      <c r="CK9" s="438" t="s">
        <v>113</v>
      </c>
      <c r="CL9" s="512" t="s">
        <v>65</v>
      </c>
      <c r="CM9" s="499" t="s">
        <v>64</v>
      </c>
      <c r="CN9" s="439" t="s">
        <v>65</v>
      </c>
      <c r="CO9" s="438" t="s">
        <v>114</v>
      </c>
      <c r="CP9" s="438" t="s">
        <v>65</v>
      </c>
      <c r="CQ9" s="438" t="s">
        <v>114</v>
      </c>
      <c r="CR9" s="438" t="s">
        <v>65</v>
      </c>
      <c r="CS9" s="438" t="s">
        <v>114</v>
      </c>
      <c r="CT9" s="439" t="s">
        <v>65</v>
      </c>
      <c r="CU9" s="438" t="s">
        <v>114</v>
      </c>
      <c r="CV9" s="439" t="s">
        <v>65</v>
      </c>
      <c r="CW9" s="438" t="s">
        <v>114</v>
      </c>
      <c r="CX9" s="439" t="s">
        <v>65</v>
      </c>
      <c r="CY9" s="512" t="s">
        <v>114</v>
      </c>
      <c r="CZ9" s="511" t="s">
        <v>65</v>
      </c>
      <c r="DA9" s="438" t="s">
        <v>114</v>
      </c>
      <c r="DB9" s="439" t="s">
        <v>65</v>
      </c>
      <c r="DC9" s="438" t="s">
        <v>64</v>
      </c>
      <c r="DD9" s="439" t="s">
        <v>65</v>
      </c>
      <c r="DE9" s="438" t="s">
        <v>114</v>
      </c>
      <c r="DF9" s="498" t="s">
        <v>65</v>
      </c>
      <c r="DG9" s="438" t="s">
        <v>114</v>
      </c>
      <c r="DH9" s="498" t="s">
        <v>65</v>
      </c>
      <c r="DI9" s="438" t="s">
        <v>114</v>
      </c>
      <c r="DJ9" s="439" t="s">
        <v>65</v>
      </c>
      <c r="DK9" s="438" t="s">
        <v>114</v>
      </c>
      <c r="DL9" s="498" t="s">
        <v>65</v>
      </c>
      <c r="DM9" s="438" t="s">
        <v>114</v>
      </c>
      <c r="DN9" s="498" t="s">
        <v>65</v>
      </c>
      <c r="DO9" s="499" t="s">
        <v>64</v>
      </c>
      <c r="DP9" s="439" t="s">
        <v>65</v>
      </c>
      <c r="DQ9" s="774"/>
      <c r="DR9" s="781"/>
      <c r="DS9" s="773"/>
      <c r="DT9" s="779"/>
      <c r="DU9" s="773"/>
      <c r="DV9" s="773"/>
      <c r="DW9" s="773"/>
      <c r="DX9" s="773"/>
      <c r="DY9" s="773"/>
      <c r="DZ9" s="773"/>
      <c r="EA9" s="773"/>
      <c r="EB9" s="773"/>
      <c r="EC9" s="773"/>
      <c r="ED9" s="773"/>
      <c r="EE9" s="773"/>
      <c r="EF9" s="773"/>
      <c r="EG9" s="773"/>
      <c r="EH9" s="773"/>
      <c r="EI9" s="773"/>
      <c r="EJ9" s="773"/>
      <c r="EK9" s="773"/>
      <c r="EL9" s="773"/>
      <c r="EM9" s="773"/>
      <c r="EN9" s="773"/>
      <c r="EO9" s="773"/>
      <c r="EP9" s="438"/>
      <c r="EQ9" s="773"/>
      <c r="ER9" s="774"/>
      <c r="ES9" s="773"/>
      <c r="ET9" s="777"/>
    </row>
    <row r="10" spans="1:158" s="54" customFormat="1" ht="19.5" thickTop="1">
      <c r="A10" s="445">
        <f>A9+1</f>
        <v>1</v>
      </c>
      <c r="B10" s="446" t="s">
        <v>115</v>
      </c>
      <c r="C10" s="625">
        <v>0</v>
      </c>
      <c r="D10" s="619">
        <v>1</v>
      </c>
      <c r="E10" s="447"/>
      <c r="F10" s="448">
        <v>1</v>
      </c>
      <c r="G10" s="505">
        <v>1994.2</v>
      </c>
      <c r="H10" s="506">
        <v>3178.47526</v>
      </c>
      <c r="I10" s="449">
        <f>(G10-H10)/G10*100%</f>
        <v>-0.5938598234881156</v>
      </c>
      <c r="J10" s="450">
        <v>0</v>
      </c>
      <c r="K10" s="569">
        <v>2935.36152</v>
      </c>
      <c r="L10" s="554">
        <v>4373.1535</v>
      </c>
      <c r="M10" s="453">
        <f aca="true" t="shared" si="0" ref="M10:M33">K10/L10*100%</f>
        <v>0.6712230704913513</v>
      </c>
      <c r="N10" s="452">
        <v>0.8</v>
      </c>
      <c r="O10" s="569">
        <v>2935.36152</v>
      </c>
      <c r="P10" s="611">
        <v>7463.97</v>
      </c>
      <c r="Q10" s="451">
        <f>O10/P10*100%</f>
        <v>0.393270808966274</v>
      </c>
      <c r="R10" s="557">
        <f>IF(0%&lt;Q10&gt;45%,Q10/45%,1)</f>
        <v>0.8739351310361644</v>
      </c>
      <c r="S10" s="569">
        <f>2935.36152-422.63172</f>
        <v>2512.7298</v>
      </c>
      <c r="T10" s="558"/>
      <c r="U10" s="569">
        <f>3029.58414-355.88281</f>
        <v>2673.70133</v>
      </c>
      <c r="V10" s="495">
        <f>S10/U10*100%</f>
        <v>0.9397944982882588</v>
      </c>
      <c r="W10" s="35">
        <f>IF(V10&gt;100%,1,0)</f>
        <v>0</v>
      </c>
      <c r="X10" s="559">
        <v>1134.40799</v>
      </c>
      <c r="Y10" s="559">
        <v>1462.53073</v>
      </c>
      <c r="Z10" s="495">
        <f>Y10/X10*100%</f>
        <v>1.2892457941873277</v>
      </c>
      <c r="AA10" s="560">
        <v>0</v>
      </c>
      <c r="AB10" s="559">
        <v>1462.53073</v>
      </c>
      <c r="AC10" s="561">
        <f>251.53977+422.63172+456.87916+362.21961+1.2</f>
        <v>1494.4702599999998</v>
      </c>
      <c r="AD10" s="453">
        <f>AB10/AC10*100%</f>
        <v>0.9786281929758844</v>
      </c>
      <c r="AE10" s="562">
        <f>IF(0&lt;AD10&gt;100%,1-AD10/100%,0)</f>
        <v>0.021371807024115563</v>
      </c>
      <c r="AF10" s="563">
        <v>1437.79198</v>
      </c>
      <c r="AG10" s="554">
        <v>4373.1535</v>
      </c>
      <c r="AH10" s="612">
        <v>93.51898</v>
      </c>
      <c r="AI10" s="451">
        <f>AF10/(AG10-AH10)*100%</f>
        <v>0.33596139419868026</v>
      </c>
      <c r="AJ10" s="564">
        <v>0.8</v>
      </c>
      <c r="AK10" s="570">
        <v>-1528.63432</v>
      </c>
      <c r="AL10" s="570">
        <v>20</v>
      </c>
      <c r="AM10" s="568">
        <v>1508.6</v>
      </c>
      <c r="AN10" s="485">
        <v>0</v>
      </c>
      <c r="AO10" s="576">
        <v>2900</v>
      </c>
      <c r="AP10" s="577">
        <v>3762.8</v>
      </c>
      <c r="AQ10" s="578">
        <f>AO10*100%/AP10</f>
        <v>0.7707026682257893</v>
      </c>
      <c r="AR10" s="456">
        <v>1</v>
      </c>
      <c r="AS10" s="454"/>
      <c r="AT10" s="613"/>
      <c r="AU10" s="552">
        <v>12542.17</v>
      </c>
      <c r="AV10" s="584">
        <v>4993.54</v>
      </c>
      <c r="AW10" s="433">
        <f>AV10/AU10</f>
        <v>0.39814003477867066</v>
      </c>
      <c r="AX10" s="585">
        <v>1</v>
      </c>
      <c r="AY10" s="576">
        <v>2900</v>
      </c>
      <c r="AZ10" s="587">
        <f>AY10*100/AO10</f>
        <v>100</v>
      </c>
      <c r="BA10" s="587">
        <f>AY10*100/AV10</f>
        <v>58.07503294256179</v>
      </c>
      <c r="BB10" s="614">
        <v>0.5</v>
      </c>
      <c r="BC10" s="614">
        <v>1</v>
      </c>
      <c r="BD10" s="590">
        <v>2378</v>
      </c>
      <c r="BE10" s="591">
        <f>AU10</f>
        <v>12542.17</v>
      </c>
      <c r="BF10" s="592">
        <f>(BE10/BD10)/($BE$34/$BD$34)*100</f>
        <v>67.85573227951353</v>
      </c>
      <c r="BG10" s="585">
        <v>0.7</v>
      </c>
      <c r="BH10" s="614">
        <f>BE10*100/BE47</f>
        <v>1.631028700124158</v>
      </c>
      <c r="BI10" s="454">
        <f aca="true" t="shared" si="1" ref="BI10:BI33">BK10*100/AO10</f>
        <v>20.850344827586206</v>
      </c>
      <c r="BJ10" s="454">
        <f aca="true" t="shared" si="2" ref="BJ10:BJ33">BK10*100/AU10</f>
        <v>4.821015821026186</v>
      </c>
      <c r="BK10" s="577">
        <v>604.66</v>
      </c>
      <c r="BL10" s="432">
        <f>BD10</f>
        <v>2378</v>
      </c>
      <c r="BM10" s="433">
        <f>(BK10/BL10)/($BK$34/$BL$34)*100%</f>
        <v>0.20099678870940138</v>
      </c>
      <c r="BN10" s="585">
        <v>0</v>
      </c>
      <c r="BO10" s="534">
        <v>3339.87</v>
      </c>
      <c r="BP10" s="534">
        <v>1186.45</v>
      </c>
      <c r="BQ10" s="432">
        <f>BP10/BO10*100</f>
        <v>35.52383775416409</v>
      </c>
      <c r="BR10" s="433">
        <f>BP10/BO10</f>
        <v>0.3552383775416409</v>
      </c>
      <c r="BS10" s="594">
        <v>0</v>
      </c>
      <c r="BT10" s="601">
        <f>BE10</f>
        <v>12542.17</v>
      </c>
      <c r="BU10" s="602">
        <v>1</v>
      </c>
      <c r="BV10" s="603">
        <v>1</v>
      </c>
      <c r="BW10" s="606">
        <v>0</v>
      </c>
      <c r="BX10" s="607">
        <v>1</v>
      </c>
      <c r="BY10" s="618">
        <v>0</v>
      </c>
      <c r="BZ10" s="619">
        <f>(1-BY10/1)</f>
        <v>1</v>
      </c>
      <c r="CA10" s="628">
        <v>0</v>
      </c>
      <c r="CB10" s="42">
        <f>1-(CA10/1)</f>
        <v>1</v>
      </c>
      <c r="CC10" s="629">
        <v>0</v>
      </c>
      <c r="CD10" s="430">
        <f>1-(CC10/1)</f>
        <v>1</v>
      </c>
      <c r="CE10" s="456">
        <v>0</v>
      </c>
      <c r="CF10" s="456">
        <v>1</v>
      </c>
      <c r="CG10" s="456">
        <v>0</v>
      </c>
      <c r="CH10" s="454">
        <v>1</v>
      </c>
      <c r="CI10" s="456">
        <v>0</v>
      </c>
      <c r="CJ10" s="456">
        <v>1</v>
      </c>
      <c r="CK10" s="454">
        <v>0</v>
      </c>
      <c r="CL10" s="501">
        <v>1</v>
      </c>
      <c r="CM10" s="431">
        <f>BY10+CA10+CC10+CE10+CG10+CI10+CK10</f>
        <v>0</v>
      </c>
      <c r="CN10" s="503">
        <f>1-CM10/26</f>
        <v>1</v>
      </c>
      <c r="CO10" s="455">
        <v>0</v>
      </c>
      <c r="CP10" s="636">
        <f aca="true" t="shared" si="3" ref="CP10:CP33">1-CO10/6</f>
        <v>1</v>
      </c>
      <c r="CQ10" s="432">
        <v>0</v>
      </c>
      <c r="CR10" s="637">
        <f aca="true" t="shared" si="4" ref="CR10:CR33">1-CQ10/11</f>
        <v>1</v>
      </c>
      <c r="CS10" s="395">
        <v>0</v>
      </c>
      <c r="CT10" s="638">
        <f aca="true" t="shared" si="5" ref="CT10:CT33">1-CS10/3</f>
        <v>1</v>
      </c>
      <c r="CU10" s="395">
        <v>0</v>
      </c>
      <c r="CV10" s="486">
        <f aca="true" t="shared" si="6" ref="CV10:CV33">1-CU10/2</f>
        <v>1</v>
      </c>
      <c r="CW10" s="481">
        <v>0</v>
      </c>
      <c r="CX10" s="503">
        <f aca="true" t="shared" si="7" ref="CX10:CX26">1-CW10/5</f>
        <v>1</v>
      </c>
      <c r="CY10" s="618">
        <v>0</v>
      </c>
      <c r="CZ10" s="619">
        <f>1-CY10/2</f>
        <v>1</v>
      </c>
      <c r="DA10" s="642">
        <v>0</v>
      </c>
      <c r="DB10" s="448">
        <f aca="true" t="shared" si="8" ref="DB10:DB33">1-DA10/11</f>
        <v>1</v>
      </c>
      <c r="DC10" s="457"/>
      <c r="DD10" s="448">
        <f aca="true" t="shared" si="9" ref="DD10:DD33">1-DC10/19</f>
        <v>1</v>
      </c>
      <c r="DE10" s="501">
        <v>1</v>
      </c>
      <c r="DF10" s="430">
        <f>1-DE10/2</f>
        <v>0.5</v>
      </c>
      <c r="DG10" s="629">
        <f>2+1</f>
        <v>3</v>
      </c>
      <c r="DH10" s="430">
        <f>1-(DG10/6)</f>
        <v>0.5</v>
      </c>
      <c r="DI10" s="434"/>
      <c r="DJ10" s="482">
        <f aca="true" t="shared" si="10" ref="DJ10:DJ33">1-DI10/31</f>
        <v>1</v>
      </c>
      <c r="DK10" s="395">
        <v>0</v>
      </c>
      <c r="DL10" s="432">
        <v>1</v>
      </c>
      <c r="DM10" s="573">
        <v>0</v>
      </c>
      <c r="DN10" s="574">
        <v>1</v>
      </c>
      <c r="DO10" s="386"/>
      <c r="DP10" s="515">
        <f aca="true" t="shared" si="11" ref="DP10:DP33">1-DO10/41</f>
        <v>1</v>
      </c>
      <c r="DQ10" s="631">
        <f>93+107+117+70</f>
        <v>387</v>
      </c>
      <c r="DR10" s="632">
        <f>1-DQ10/(309+356+391+261)*100/100</f>
        <v>0.7061503416856492</v>
      </c>
      <c r="DS10" s="456"/>
      <c r="DT10" s="458">
        <f aca="true" t="shared" si="12" ref="DT10:DT33">1-DS10/1</f>
        <v>1</v>
      </c>
      <c r="DU10" s="459"/>
      <c r="DV10" s="448">
        <v>1</v>
      </c>
      <c r="DW10" s="459"/>
      <c r="DX10" s="459"/>
      <c r="DY10" s="448">
        <v>1</v>
      </c>
      <c r="DZ10" s="459"/>
      <c r="EA10" s="459"/>
      <c r="EB10" s="448">
        <v>1</v>
      </c>
      <c r="EC10" s="459"/>
      <c r="ED10" s="459"/>
      <c r="EE10" s="448">
        <v>1</v>
      </c>
      <c r="EF10" s="459"/>
      <c r="EG10" s="459"/>
      <c r="EH10" s="448">
        <v>1</v>
      </c>
      <c r="EI10" s="459"/>
      <c r="EJ10" s="459"/>
      <c r="EK10" s="448">
        <v>1</v>
      </c>
      <c r="EL10" s="459"/>
      <c r="EM10" s="459"/>
      <c r="EN10" s="448"/>
      <c r="EO10" s="454"/>
      <c r="EP10" s="454"/>
      <c r="EQ10" s="448"/>
      <c r="ER10" s="432">
        <f>D10+F10+N10+R10+W10+AA10+AE10+AJ10+AN10+AR10+AX10+BB10+BC10+BG10+BN10+BS10+BV10+BX10+CN10+DD10+DP10+DR10+DT10+DV10+DY10+EB10</f>
        <v>18.401457279745927</v>
      </c>
      <c r="ES10" s="517">
        <v>21</v>
      </c>
      <c r="ET10" s="432" t="s">
        <v>117</v>
      </c>
      <c r="EV10" s="54">
        <v>21.28406506910028</v>
      </c>
      <c r="EW10" s="54">
        <v>20</v>
      </c>
      <c r="EX10" s="54">
        <v>1.552704073700215</v>
      </c>
      <c r="EY10" s="54" t="s">
        <v>116</v>
      </c>
      <c r="EZ10" s="441">
        <f aca="true" t="shared" si="13" ref="EZ10:EZ34">CM10+DC10+DO10+DQ10+DS10</f>
        <v>387</v>
      </c>
      <c r="FB10" s="432"/>
    </row>
    <row r="11" spans="1:158" s="54" customFormat="1" ht="18.75">
      <c r="A11" s="479">
        <f>A10+1</f>
        <v>2</v>
      </c>
      <c r="B11" s="480" t="s">
        <v>118</v>
      </c>
      <c r="C11" s="626">
        <v>0</v>
      </c>
      <c r="D11" s="621">
        <v>1</v>
      </c>
      <c r="E11" s="481"/>
      <c r="F11" s="482">
        <v>1</v>
      </c>
      <c r="G11" s="507">
        <v>2822.36926</v>
      </c>
      <c r="H11" s="506">
        <v>5743.68148</v>
      </c>
      <c r="I11" s="433">
        <f>(G11-H11)/G11*100%</f>
        <v>-1.0350567026796487</v>
      </c>
      <c r="J11" s="484">
        <v>0</v>
      </c>
      <c r="K11" s="569">
        <v>6485.02428</v>
      </c>
      <c r="L11" s="555">
        <v>11130.15058</v>
      </c>
      <c r="M11" s="61">
        <f t="shared" si="0"/>
        <v>0.582653777537662</v>
      </c>
      <c r="N11" s="485">
        <v>0.8</v>
      </c>
      <c r="O11" s="569">
        <v>6485.02428</v>
      </c>
      <c r="P11" s="611">
        <v>10162.02901</v>
      </c>
      <c r="Q11" s="58">
        <f>O11/P11*100%</f>
        <v>0.6381623466748989</v>
      </c>
      <c r="R11" s="557">
        <v>1</v>
      </c>
      <c r="S11" s="569">
        <f>6485.02428-579.96177</f>
        <v>5905.06251</v>
      </c>
      <c r="T11" s="555"/>
      <c r="U11" s="569">
        <f>3102.11058-487.40465</f>
        <v>2614.70593</v>
      </c>
      <c r="V11" s="496">
        <f aca="true" t="shared" si="14" ref="V11:V30">S11/U11*100%</f>
        <v>2.258404068407035</v>
      </c>
      <c r="W11" s="35">
        <f aca="true" t="shared" si="15" ref="W11:W33">IF(V11&gt;100%,1,0)</f>
        <v>1</v>
      </c>
      <c r="X11" s="559">
        <v>1507.93266</v>
      </c>
      <c r="Y11" s="559">
        <v>1380.27832</v>
      </c>
      <c r="Z11" s="496">
        <f>Y11/X11*100%</f>
        <v>0.9153448006093322</v>
      </c>
      <c r="AA11" s="560">
        <f aca="true" t="shared" si="16" ref="AA11:AA33">1-(Z11/100%)</f>
        <v>0.08465519939066779</v>
      </c>
      <c r="AB11" s="559">
        <v>1380.27832</v>
      </c>
      <c r="AC11" s="561">
        <f>56.05895+579.96177+1078.27937+1264.31037+12.18</f>
        <v>2990.7904599999997</v>
      </c>
      <c r="AD11" s="61">
        <f>AB11/AC11*100%</f>
        <v>0.4615095368466569</v>
      </c>
      <c r="AE11" s="562">
        <f aca="true" t="shared" si="17" ref="AE11:AE32">IF(0&lt;AD11&gt;100%,1-AD11/100%,0)</f>
        <v>0.5384904631533431</v>
      </c>
      <c r="AF11" s="563">
        <v>4595.1263</v>
      </c>
      <c r="AG11" s="555">
        <v>11130.15058</v>
      </c>
      <c r="AH11" s="612">
        <v>125.52312</v>
      </c>
      <c r="AI11" s="58">
        <f>AF11/(AG11-AH11)*100%</f>
        <v>0.4175630948619137</v>
      </c>
      <c r="AJ11" s="565">
        <v>0.8</v>
      </c>
      <c r="AK11" s="571">
        <v>-568.16163</v>
      </c>
      <c r="AL11" s="571">
        <v>-944.04936</v>
      </c>
      <c r="AM11" s="567">
        <v>-375.8</v>
      </c>
      <c r="AN11" s="485">
        <v>1</v>
      </c>
      <c r="AO11" s="579">
        <v>4165.13</v>
      </c>
      <c r="AP11" s="580">
        <v>4328.9</v>
      </c>
      <c r="AQ11" s="449">
        <f>AO11*100%/AP11</f>
        <v>0.9621682182540601</v>
      </c>
      <c r="AR11" s="395">
        <v>1</v>
      </c>
      <c r="AS11" s="483"/>
      <c r="AT11" s="615"/>
      <c r="AU11" s="553">
        <v>23801.92</v>
      </c>
      <c r="AV11" s="584">
        <v>7085.74</v>
      </c>
      <c r="AW11" s="433">
        <f aca="true" t="shared" si="18" ref="AW11:AW33">AV11/AU11</f>
        <v>0.2976961522431804</v>
      </c>
      <c r="AX11" s="586">
        <v>1</v>
      </c>
      <c r="AY11" s="579">
        <v>3929.79</v>
      </c>
      <c r="AZ11" s="588">
        <f aca="true" t="shared" si="19" ref="AZ11:AZ33">AY11*100/AO11</f>
        <v>94.3497561900829</v>
      </c>
      <c r="BA11" s="588">
        <f aca="true" t="shared" si="20" ref="BA11:BA33">AY11*100/AV11</f>
        <v>55.46054469963617</v>
      </c>
      <c r="BB11" s="589">
        <v>0.5</v>
      </c>
      <c r="BC11" s="589">
        <v>1</v>
      </c>
      <c r="BD11" s="593">
        <v>3190</v>
      </c>
      <c r="BE11" s="591">
        <f aca="true" t="shared" si="21" ref="BE11:BE33">AU11</f>
        <v>23801.92</v>
      </c>
      <c r="BF11" s="592">
        <f aca="true" t="shared" si="22" ref="BF11:BF33">(BE11/BD11)/($BE$34/$BD$34)*100</f>
        <v>95.9946472385768</v>
      </c>
      <c r="BG11" s="586">
        <v>0.9</v>
      </c>
      <c r="BH11" s="483" t="e">
        <f>BE11*100/#REF!</f>
        <v>#REF!</v>
      </c>
      <c r="BI11" s="432">
        <f t="shared" si="1"/>
        <v>97.37463176419463</v>
      </c>
      <c r="BJ11" s="434">
        <f t="shared" si="2"/>
        <v>17.039717804277977</v>
      </c>
      <c r="BK11" s="580">
        <v>4055.78</v>
      </c>
      <c r="BL11" s="432">
        <f aca="true" t="shared" si="23" ref="BL11:BL33">BD11</f>
        <v>3190</v>
      </c>
      <c r="BM11" s="433">
        <f aca="true" t="shared" si="24" ref="BM11:BM33">(BK11/BL11)/($BK$34/$BL$34)*100%</f>
        <v>1.0050170639603462</v>
      </c>
      <c r="BN11" s="586">
        <v>1</v>
      </c>
      <c r="BO11" s="535">
        <v>12709.75</v>
      </c>
      <c r="BP11" s="535">
        <v>3201.02</v>
      </c>
      <c r="BQ11" s="432">
        <f>BP11/BO11*100</f>
        <v>25.18554652923936</v>
      </c>
      <c r="BR11" s="433">
        <f>BP11/BO11</f>
        <v>0.2518554652923936</v>
      </c>
      <c r="BS11" s="592">
        <v>0</v>
      </c>
      <c r="BT11" s="601">
        <f aca="true" t="shared" si="25" ref="BT11:BT33">BE11</f>
        <v>23801.92</v>
      </c>
      <c r="BU11" s="604">
        <v>1</v>
      </c>
      <c r="BV11" s="605">
        <v>1</v>
      </c>
      <c r="BW11" s="608">
        <v>5.407864789583335</v>
      </c>
      <c r="BX11" s="609">
        <v>0.9459213521041666</v>
      </c>
      <c r="BY11" s="620">
        <v>0</v>
      </c>
      <c r="BZ11" s="621">
        <f>(1-BY11/1)</f>
        <v>1</v>
      </c>
      <c r="CA11" s="630">
        <v>0</v>
      </c>
      <c r="CB11" s="42">
        <f aca="true" t="shared" si="26" ref="CB11:CB33">1-(CA11/1)</f>
        <v>1</v>
      </c>
      <c r="CC11" s="500">
        <v>0</v>
      </c>
      <c r="CD11" s="430">
        <f aca="true" t="shared" si="27" ref="CD11:CD33">1-(CC11/1)</f>
        <v>1</v>
      </c>
      <c r="CE11" s="395">
        <v>0</v>
      </c>
      <c r="CF11" s="395">
        <v>1</v>
      </c>
      <c r="CG11" s="395">
        <v>0</v>
      </c>
      <c r="CH11" s="432">
        <v>1</v>
      </c>
      <c r="CI11" s="395">
        <v>0</v>
      </c>
      <c r="CJ11" s="395">
        <v>1</v>
      </c>
      <c r="CK11" s="454">
        <v>0</v>
      </c>
      <c r="CL11" s="502">
        <v>1</v>
      </c>
      <c r="CM11" s="431">
        <f aca="true" t="shared" si="28" ref="CM11:CM33">BY11+CA11+CC11+CE11+CG11+CI11+CK11</f>
        <v>0</v>
      </c>
      <c r="CN11" s="504">
        <f aca="true" t="shared" si="29" ref="CN11:CN33">1-CM11/26</f>
        <v>1</v>
      </c>
      <c r="CO11" s="455">
        <v>0</v>
      </c>
      <c r="CP11" s="636">
        <f t="shared" si="3"/>
        <v>1</v>
      </c>
      <c r="CQ11" s="432">
        <v>0</v>
      </c>
      <c r="CR11" s="637">
        <f t="shared" si="4"/>
        <v>1</v>
      </c>
      <c r="CS11" s="395">
        <v>0</v>
      </c>
      <c r="CT11" s="638">
        <f t="shared" si="5"/>
        <v>1</v>
      </c>
      <c r="CU11" s="395">
        <v>0</v>
      </c>
      <c r="CV11" s="486">
        <f t="shared" si="6"/>
        <v>1</v>
      </c>
      <c r="CW11" s="481">
        <v>0</v>
      </c>
      <c r="CX11" s="639">
        <f t="shared" si="7"/>
        <v>1</v>
      </c>
      <c r="CY11" s="620">
        <v>0</v>
      </c>
      <c r="CZ11" s="621">
        <f>1-CY11/2</f>
        <v>1</v>
      </c>
      <c r="DA11" s="643">
        <v>0</v>
      </c>
      <c r="DB11" s="482">
        <f t="shared" si="8"/>
        <v>1</v>
      </c>
      <c r="DC11" s="489"/>
      <c r="DD11" s="482">
        <f t="shared" si="9"/>
        <v>1</v>
      </c>
      <c r="DE11" s="502">
        <v>0</v>
      </c>
      <c r="DF11" s="430">
        <f aca="true" t="shared" si="30" ref="DF11:DF33">1-DE11/2</f>
        <v>1</v>
      </c>
      <c r="DG11" s="500">
        <v>0</v>
      </c>
      <c r="DH11" s="430">
        <f aca="true" t="shared" si="31" ref="DH11:DH33">1-(DG11/6)</f>
        <v>1</v>
      </c>
      <c r="DI11" s="434"/>
      <c r="DJ11" s="482">
        <f t="shared" si="10"/>
        <v>1</v>
      </c>
      <c r="DK11" s="395">
        <v>0</v>
      </c>
      <c r="DL11" s="432">
        <v>1</v>
      </c>
      <c r="DM11" s="575">
        <v>0</v>
      </c>
      <c r="DN11" s="574">
        <v>1</v>
      </c>
      <c r="DO11" s="395"/>
      <c r="DP11" s="516">
        <f t="shared" si="11"/>
        <v>1</v>
      </c>
      <c r="DQ11" s="633">
        <f>21+12+11+8</f>
        <v>52</v>
      </c>
      <c r="DR11" s="634">
        <f>1-DQ11/(301+251+276+184)*100/100</f>
        <v>0.9486166007905138</v>
      </c>
      <c r="DS11" s="395"/>
      <c r="DT11" s="490">
        <f t="shared" si="12"/>
        <v>1</v>
      </c>
      <c r="DU11" s="491"/>
      <c r="DV11" s="487">
        <v>1</v>
      </c>
      <c r="DW11" s="492"/>
      <c r="DX11" s="491"/>
      <c r="DY11" s="487">
        <v>1</v>
      </c>
      <c r="DZ11" s="492"/>
      <c r="EA11" s="491"/>
      <c r="EB11" s="487">
        <v>1</v>
      </c>
      <c r="EC11" s="492"/>
      <c r="ED11" s="491"/>
      <c r="EE11" s="487">
        <v>1</v>
      </c>
      <c r="EF11" s="492"/>
      <c r="EG11" s="491"/>
      <c r="EH11" s="487">
        <v>1</v>
      </c>
      <c r="EI11" s="492"/>
      <c r="EJ11" s="491"/>
      <c r="EK11" s="645">
        <v>1</v>
      </c>
      <c r="EL11" s="492"/>
      <c r="EM11" s="492"/>
      <c r="EN11" s="487"/>
      <c r="EO11" s="483"/>
      <c r="EP11" s="483"/>
      <c r="EQ11" s="487"/>
      <c r="ER11" s="432">
        <f aca="true" t="shared" si="32" ref="ER11:ER33">D11+F11+N11+R11+W11+AA11+AE11+AJ11+AN11+AR11+AX11+BB11+BC11+BG11+BN11+BS11+BV11+BX11+CN11+DD11+DP11+DR11+DT11+DV11+DY11+EB11</f>
        <v>22.517683615438692</v>
      </c>
      <c r="ES11" s="518">
        <v>2</v>
      </c>
      <c r="ET11" s="482" t="s">
        <v>119</v>
      </c>
      <c r="EU11" s="409"/>
      <c r="EV11" s="409">
        <v>19.740985861303372</v>
      </c>
      <c r="EW11" s="409">
        <v>24</v>
      </c>
      <c r="EX11" s="409">
        <v>1.552704073700215</v>
      </c>
      <c r="EY11" s="409" t="s">
        <v>116</v>
      </c>
      <c r="EZ11" s="441">
        <f t="shared" si="13"/>
        <v>52</v>
      </c>
      <c r="FB11" s="432"/>
    </row>
    <row r="12" spans="1:158" s="54" customFormat="1" ht="23.25" customHeight="1">
      <c r="A12" s="479">
        <v>3</v>
      </c>
      <c r="B12" s="493" t="s">
        <v>120</v>
      </c>
      <c r="C12" s="626">
        <v>0</v>
      </c>
      <c r="D12" s="621">
        <v>1</v>
      </c>
      <c r="E12" s="481"/>
      <c r="F12" s="482">
        <v>1</v>
      </c>
      <c r="G12" s="508">
        <v>4717</v>
      </c>
      <c r="H12" s="506">
        <v>6966.149899999999</v>
      </c>
      <c r="I12" s="433">
        <f>(G12-H12)/G12*100%</f>
        <v>-0.4768178715285138</v>
      </c>
      <c r="J12" s="484">
        <v>0</v>
      </c>
      <c r="K12" s="569">
        <v>7030.39055</v>
      </c>
      <c r="L12" s="554">
        <v>15428.83699</v>
      </c>
      <c r="M12" s="61">
        <f>K12/L12*100%</f>
        <v>0.45566561851399795</v>
      </c>
      <c r="N12" s="485">
        <v>0.5</v>
      </c>
      <c r="O12" s="569">
        <v>7030.39055</v>
      </c>
      <c r="P12" s="611">
        <v>18153.94056</v>
      </c>
      <c r="Q12" s="58">
        <f>O12/P12*100%</f>
        <v>0.3872652621486825</v>
      </c>
      <c r="R12" s="557">
        <f aca="true" t="shared" si="33" ref="R12:R33">IF(0%&lt;Q12&gt;45%,Q12/45%,1)</f>
        <v>0.8605894714415167</v>
      </c>
      <c r="S12" s="569">
        <f>7030.39055-2211.8755</f>
        <v>4818.51505</v>
      </c>
      <c r="T12" s="556"/>
      <c r="U12" s="569">
        <f>8543.23515-1861.93732</f>
        <v>6681.29783</v>
      </c>
      <c r="V12" s="496">
        <f t="shared" si="14"/>
        <v>0.7211944703863021</v>
      </c>
      <c r="W12" s="35">
        <f t="shared" si="15"/>
        <v>0</v>
      </c>
      <c r="X12" s="559">
        <v>5601.22183</v>
      </c>
      <c r="Y12" s="559">
        <v>4989.25518</v>
      </c>
      <c r="Z12" s="496">
        <f aca="true" t="shared" si="34" ref="Z12:Z30">Y12/X12*100%</f>
        <v>0.8907440789575013</v>
      </c>
      <c r="AA12" s="560">
        <f t="shared" si="16"/>
        <v>0.1092559210424987</v>
      </c>
      <c r="AB12" s="559">
        <v>4989.25518</v>
      </c>
      <c r="AC12" s="561">
        <f>891.79271+2211.8755+3461.2576+5.7</f>
        <v>6570.6258100000005</v>
      </c>
      <c r="AD12" s="61">
        <f aca="true" t="shared" si="35" ref="AD12:AD33">AB12/AC12*100%</f>
        <v>0.7593272428338146</v>
      </c>
      <c r="AE12" s="562">
        <f t="shared" si="17"/>
        <v>0.2406727571661854</v>
      </c>
      <c r="AF12" s="563">
        <v>8398.44644</v>
      </c>
      <c r="AG12" s="554">
        <v>15428.83699</v>
      </c>
      <c r="AH12" s="612">
        <v>192.10216</v>
      </c>
      <c r="AI12" s="58">
        <f aca="true" t="shared" si="36" ref="AI12:AI32">AF12/(AG12-AH12)*100%</f>
        <v>0.5511972567419158</v>
      </c>
      <c r="AJ12" s="565">
        <v>0.5</v>
      </c>
      <c r="AK12" s="571">
        <v>-2587.81265</v>
      </c>
      <c r="AL12" s="571">
        <v>-784.0927</v>
      </c>
      <c r="AM12" s="567">
        <v>1803.7</v>
      </c>
      <c r="AN12" s="485">
        <v>0</v>
      </c>
      <c r="AO12" s="581">
        <v>4508.98</v>
      </c>
      <c r="AP12" s="582">
        <v>5032.7</v>
      </c>
      <c r="AQ12" s="433">
        <f aca="true" t="shared" si="37" ref="AQ12:AQ33">AO12*100%/AP12</f>
        <v>0.8959365748008027</v>
      </c>
      <c r="AR12" s="395">
        <v>1</v>
      </c>
      <c r="AS12" s="432"/>
      <c r="AT12" s="615"/>
      <c r="AU12" s="553">
        <v>39719.36</v>
      </c>
      <c r="AV12" s="584">
        <v>9474.4</v>
      </c>
      <c r="AW12" s="433">
        <f t="shared" si="18"/>
        <v>0.23853355139659851</v>
      </c>
      <c r="AX12" s="586">
        <v>1</v>
      </c>
      <c r="AY12" s="581">
        <v>4455.38</v>
      </c>
      <c r="AZ12" s="588">
        <f t="shared" si="19"/>
        <v>98.81126108343796</v>
      </c>
      <c r="BA12" s="588">
        <f t="shared" si="20"/>
        <v>47.02545807650089</v>
      </c>
      <c r="BB12" s="589">
        <v>0.5</v>
      </c>
      <c r="BC12" s="589">
        <v>1</v>
      </c>
      <c r="BD12" s="593">
        <v>4866</v>
      </c>
      <c r="BE12" s="591">
        <f t="shared" si="21"/>
        <v>39719.36</v>
      </c>
      <c r="BF12" s="592">
        <f t="shared" si="22"/>
        <v>105.01609046935476</v>
      </c>
      <c r="BG12" s="586">
        <v>1</v>
      </c>
      <c r="BH12" s="589">
        <f>BE12*100/BE14</f>
        <v>136.4903477570309</v>
      </c>
      <c r="BI12" s="432">
        <f t="shared" si="1"/>
        <v>340.7171910276826</v>
      </c>
      <c r="BJ12" s="432">
        <f t="shared" si="2"/>
        <v>38.67854366233494</v>
      </c>
      <c r="BK12" s="582">
        <v>15362.87</v>
      </c>
      <c r="BL12" s="432">
        <f t="shared" si="23"/>
        <v>4866</v>
      </c>
      <c r="BM12" s="433">
        <f t="shared" si="24"/>
        <v>2.4956862161088966</v>
      </c>
      <c r="BN12" s="586">
        <v>1</v>
      </c>
      <c r="BO12" s="536">
        <v>5865.89</v>
      </c>
      <c r="BP12" s="536">
        <v>1689.03</v>
      </c>
      <c r="BQ12" s="432">
        <f aca="true" t="shared" si="38" ref="BQ12:BQ33">BP12/BO12*100</f>
        <v>28.794096036577564</v>
      </c>
      <c r="BR12" s="433">
        <f aca="true" t="shared" si="39" ref="BR12:BR33">BP12/BO12</f>
        <v>0.28794096036577566</v>
      </c>
      <c r="BS12" s="592">
        <v>0</v>
      </c>
      <c r="BT12" s="601">
        <f t="shared" si="25"/>
        <v>39719.36</v>
      </c>
      <c r="BU12" s="604">
        <v>1</v>
      </c>
      <c r="BV12" s="605">
        <v>1</v>
      </c>
      <c r="BW12" s="608">
        <v>0</v>
      </c>
      <c r="BX12" s="609">
        <v>1</v>
      </c>
      <c r="BY12" s="620">
        <v>0</v>
      </c>
      <c r="BZ12" s="621">
        <f aca="true" t="shared" si="40" ref="BZ12:BZ33">(1-BY12/1)</f>
        <v>1</v>
      </c>
      <c r="CA12" s="630">
        <v>0</v>
      </c>
      <c r="CB12" s="42">
        <f t="shared" si="26"/>
        <v>1</v>
      </c>
      <c r="CC12" s="500">
        <v>0</v>
      </c>
      <c r="CD12" s="430">
        <f t="shared" si="27"/>
        <v>1</v>
      </c>
      <c r="CE12" s="395">
        <v>0</v>
      </c>
      <c r="CF12" s="395">
        <v>1</v>
      </c>
      <c r="CG12" s="395">
        <v>0</v>
      </c>
      <c r="CH12" s="432">
        <v>1</v>
      </c>
      <c r="CI12" s="395">
        <v>0</v>
      </c>
      <c r="CJ12" s="395">
        <v>1</v>
      </c>
      <c r="CK12" s="432">
        <v>0</v>
      </c>
      <c r="CL12" s="502">
        <v>1</v>
      </c>
      <c r="CM12" s="431">
        <f t="shared" si="28"/>
        <v>0</v>
      </c>
      <c r="CN12" s="504">
        <f t="shared" si="29"/>
        <v>1</v>
      </c>
      <c r="CO12" s="434">
        <v>0</v>
      </c>
      <c r="CP12" s="640">
        <f t="shared" si="3"/>
        <v>1</v>
      </c>
      <c r="CQ12" s="432">
        <v>0</v>
      </c>
      <c r="CR12" s="641">
        <f t="shared" si="4"/>
        <v>1</v>
      </c>
      <c r="CS12" s="395">
        <v>0</v>
      </c>
      <c r="CT12" s="504">
        <f t="shared" si="5"/>
        <v>1</v>
      </c>
      <c r="CU12" s="395">
        <v>0</v>
      </c>
      <c r="CV12" s="486">
        <f t="shared" si="6"/>
        <v>1</v>
      </c>
      <c r="CW12" s="481">
        <v>0</v>
      </c>
      <c r="CX12" s="482">
        <f t="shared" si="7"/>
        <v>1</v>
      </c>
      <c r="CY12" s="620">
        <v>0</v>
      </c>
      <c r="CZ12" s="621">
        <f aca="true" t="shared" si="41" ref="CZ12:CZ33">1-CY12/2</f>
        <v>1</v>
      </c>
      <c r="DA12" s="643">
        <v>0</v>
      </c>
      <c r="DB12" s="482">
        <f t="shared" si="8"/>
        <v>1</v>
      </c>
      <c r="DC12" s="489"/>
      <c r="DD12" s="482">
        <f t="shared" si="9"/>
        <v>1</v>
      </c>
      <c r="DE12" s="502">
        <v>0</v>
      </c>
      <c r="DF12" s="430">
        <f t="shared" si="30"/>
        <v>1</v>
      </c>
      <c r="DG12" s="500">
        <v>0</v>
      </c>
      <c r="DH12" s="430">
        <f t="shared" si="31"/>
        <v>1</v>
      </c>
      <c r="DI12" s="434"/>
      <c r="DJ12" s="482">
        <f t="shared" si="10"/>
        <v>1</v>
      </c>
      <c r="DK12" s="395">
        <v>0</v>
      </c>
      <c r="DL12" s="432">
        <v>1</v>
      </c>
      <c r="DM12" s="575">
        <v>0</v>
      </c>
      <c r="DN12" s="574">
        <v>1</v>
      </c>
      <c r="DO12" s="395"/>
      <c r="DP12" s="516">
        <f t="shared" si="11"/>
        <v>1</v>
      </c>
      <c r="DQ12" s="633">
        <f>46+85+42+23</f>
        <v>196</v>
      </c>
      <c r="DR12" s="634">
        <f>1-DQ12/(478+425+467+311)*100/100</f>
        <v>0.883402736466389</v>
      </c>
      <c r="DS12" s="395"/>
      <c r="DT12" s="490">
        <f t="shared" si="12"/>
        <v>1</v>
      </c>
      <c r="DU12" s="491"/>
      <c r="DV12" s="482">
        <v>1</v>
      </c>
      <c r="DW12" s="491"/>
      <c r="DX12" s="491"/>
      <c r="DY12" s="482">
        <v>1</v>
      </c>
      <c r="DZ12" s="491"/>
      <c r="EA12" s="491"/>
      <c r="EB12" s="482">
        <v>1</v>
      </c>
      <c r="EC12" s="491"/>
      <c r="ED12" s="491"/>
      <c r="EE12" s="482">
        <v>1</v>
      </c>
      <c r="EF12" s="491"/>
      <c r="EG12" s="491"/>
      <c r="EH12" s="482">
        <v>1</v>
      </c>
      <c r="EI12" s="491"/>
      <c r="EJ12" s="491"/>
      <c r="EK12" s="482">
        <v>1</v>
      </c>
      <c r="EL12" s="491"/>
      <c r="EM12" s="491"/>
      <c r="EN12" s="482"/>
      <c r="EO12" s="432"/>
      <c r="EP12" s="432"/>
      <c r="EQ12" s="482"/>
      <c r="ER12" s="432">
        <f t="shared" si="32"/>
        <v>19.59392088611659</v>
      </c>
      <c r="ES12" s="518">
        <v>15</v>
      </c>
      <c r="ET12" s="432" t="s">
        <v>117</v>
      </c>
      <c r="EV12" s="54">
        <v>22.003913579326042</v>
      </c>
      <c r="EW12" s="54">
        <v>10</v>
      </c>
      <c r="EX12" s="54">
        <v>1.552704073700215</v>
      </c>
      <c r="EY12" s="54" t="s">
        <v>117</v>
      </c>
      <c r="EZ12" s="441">
        <f t="shared" si="13"/>
        <v>196</v>
      </c>
      <c r="FB12" s="432"/>
    </row>
    <row r="13" spans="1:158" s="54" customFormat="1" ht="18.75">
      <c r="A13" s="479">
        <v>4</v>
      </c>
      <c r="B13" s="493" t="s">
        <v>121</v>
      </c>
      <c r="C13" s="626">
        <v>0</v>
      </c>
      <c r="D13" s="621">
        <v>1</v>
      </c>
      <c r="E13" s="481"/>
      <c r="F13" s="482">
        <v>1</v>
      </c>
      <c r="G13" s="508">
        <v>15285.888</v>
      </c>
      <c r="H13" s="506">
        <v>15109.650409999998</v>
      </c>
      <c r="I13" s="433">
        <f>(G13-H13)/G13*100%</f>
        <v>0.011529430936560732</v>
      </c>
      <c r="J13" s="484">
        <f>1-(I13/20%)</f>
        <v>0.9423528453171963</v>
      </c>
      <c r="K13" s="569">
        <v>9777.28408</v>
      </c>
      <c r="L13" s="554">
        <v>10360.67032</v>
      </c>
      <c r="M13" s="61">
        <f t="shared" si="0"/>
        <v>0.9436922301374802</v>
      </c>
      <c r="N13" s="485">
        <v>1</v>
      </c>
      <c r="O13" s="569">
        <v>9777.28408</v>
      </c>
      <c r="P13" s="611">
        <v>25908.41</v>
      </c>
      <c r="Q13" s="58">
        <f aca="true" t="shared" si="42" ref="Q13:Q32">O13/P13*100%</f>
        <v>0.3773787770071571</v>
      </c>
      <c r="R13" s="557">
        <f t="shared" si="33"/>
        <v>0.838619504460349</v>
      </c>
      <c r="S13" s="569">
        <f>9777.28408-1224.70653</f>
        <v>8552.57755</v>
      </c>
      <c r="T13" s="556"/>
      <c r="U13" s="569">
        <f>10344.41532-1031.54422</f>
        <v>9312.8711</v>
      </c>
      <c r="V13" s="496">
        <f t="shared" si="14"/>
        <v>0.9183609928843534</v>
      </c>
      <c r="W13" s="35">
        <f t="shared" si="15"/>
        <v>0</v>
      </c>
      <c r="X13" s="559">
        <v>43516.14748</v>
      </c>
      <c r="Y13" s="559">
        <v>20292.50825</v>
      </c>
      <c r="Z13" s="497">
        <f t="shared" si="34"/>
        <v>0.46632134104533096</v>
      </c>
      <c r="AA13" s="560">
        <v>0</v>
      </c>
      <c r="AB13" s="559">
        <v>20292.50825</v>
      </c>
      <c r="AC13" s="561">
        <f>2011.25879+1224.70653+1551.84324+4266.50834+2.8</f>
        <v>9057.1169</v>
      </c>
      <c r="AD13" s="61">
        <f t="shared" si="35"/>
        <v>2.240504177438628</v>
      </c>
      <c r="AE13" s="562">
        <v>0</v>
      </c>
      <c r="AF13" s="563">
        <v>603.38682</v>
      </c>
      <c r="AG13" s="554">
        <v>10360.67032</v>
      </c>
      <c r="AH13" s="612">
        <v>394.796</v>
      </c>
      <c r="AI13" s="58">
        <f>AF13/(AG13-AH13)*100%</f>
        <v>0.060545296942897835</v>
      </c>
      <c r="AJ13" s="565">
        <v>1</v>
      </c>
      <c r="AK13" s="571">
        <v>-9040</v>
      </c>
      <c r="AL13" s="571">
        <v>-6149.27376</v>
      </c>
      <c r="AM13" s="567">
        <v>2890.7</v>
      </c>
      <c r="AN13" s="485">
        <v>0</v>
      </c>
      <c r="AO13" s="583">
        <v>5399.58</v>
      </c>
      <c r="AP13" s="582">
        <v>6245.5</v>
      </c>
      <c r="AQ13" s="433">
        <f t="shared" si="37"/>
        <v>0.8645552798014571</v>
      </c>
      <c r="AR13" s="395">
        <v>1</v>
      </c>
      <c r="AS13" s="432"/>
      <c r="AT13" s="615"/>
      <c r="AU13" s="553">
        <v>37702.54</v>
      </c>
      <c r="AV13" s="584">
        <v>12320.94</v>
      </c>
      <c r="AW13" s="433">
        <f t="shared" si="18"/>
        <v>0.3267933672373267</v>
      </c>
      <c r="AX13" s="586">
        <v>1</v>
      </c>
      <c r="AY13" s="583">
        <v>4942</v>
      </c>
      <c r="AZ13" s="588">
        <f t="shared" si="19"/>
        <v>91.52563717918801</v>
      </c>
      <c r="BA13" s="588">
        <f t="shared" si="20"/>
        <v>40.11057597878084</v>
      </c>
      <c r="BB13" s="589">
        <v>0.5</v>
      </c>
      <c r="BC13" s="589">
        <v>1</v>
      </c>
      <c r="BD13" s="593">
        <v>9253</v>
      </c>
      <c r="BE13" s="591">
        <f t="shared" si="21"/>
        <v>37702.54</v>
      </c>
      <c r="BF13" s="592">
        <f t="shared" si="22"/>
        <v>52.422020521377036</v>
      </c>
      <c r="BG13" s="586">
        <v>0</v>
      </c>
      <c r="BH13" s="589">
        <f>BE13*100/BE41</f>
        <v>4.902973313834773</v>
      </c>
      <c r="BI13" s="432">
        <f t="shared" si="1"/>
        <v>93.1035376825605</v>
      </c>
      <c r="BJ13" s="432">
        <f t="shared" si="2"/>
        <v>13.333849655752635</v>
      </c>
      <c r="BK13" s="588">
        <v>5027.2</v>
      </c>
      <c r="BL13" s="432">
        <f t="shared" si="23"/>
        <v>9253</v>
      </c>
      <c r="BM13" s="433">
        <f t="shared" si="24"/>
        <v>0.4294704928226447</v>
      </c>
      <c r="BN13" s="586">
        <v>0</v>
      </c>
      <c r="BO13" s="595">
        <v>1964.11</v>
      </c>
      <c r="BP13" s="595">
        <v>741.38</v>
      </c>
      <c r="BQ13" s="432">
        <f t="shared" si="38"/>
        <v>37.74635840151519</v>
      </c>
      <c r="BR13" s="433">
        <f t="shared" si="39"/>
        <v>0.3774635840151519</v>
      </c>
      <c r="BS13" s="592">
        <v>0</v>
      </c>
      <c r="BT13" s="601">
        <f t="shared" si="25"/>
        <v>37702.54</v>
      </c>
      <c r="BU13" s="604">
        <v>1</v>
      </c>
      <c r="BV13" s="605">
        <v>1</v>
      </c>
      <c r="BW13" s="608">
        <v>0</v>
      </c>
      <c r="BX13" s="609">
        <v>1</v>
      </c>
      <c r="BY13" s="620">
        <v>0</v>
      </c>
      <c r="BZ13" s="621">
        <f t="shared" si="40"/>
        <v>1</v>
      </c>
      <c r="CA13" s="630">
        <v>0</v>
      </c>
      <c r="CB13" s="42">
        <f t="shared" si="26"/>
        <v>1</v>
      </c>
      <c r="CC13" s="500">
        <v>0</v>
      </c>
      <c r="CD13" s="430">
        <f t="shared" si="27"/>
        <v>1</v>
      </c>
      <c r="CE13" s="395">
        <v>0</v>
      </c>
      <c r="CF13" s="395">
        <v>1</v>
      </c>
      <c r="CG13" s="395">
        <v>0</v>
      </c>
      <c r="CH13" s="432">
        <v>1</v>
      </c>
      <c r="CI13" s="395">
        <v>0</v>
      </c>
      <c r="CJ13" s="395">
        <v>1</v>
      </c>
      <c r="CK13" s="432">
        <v>0</v>
      </c>
      <c r="CL13" s="502">
        <v>1</v>
      </c>
      <c r="CM13" s="431">
        <f t="shared" si="28"/>
        <v>0</v>
      </c>
      <c r="CN13" s="504">
        <f t="shared" si="29"/>
        <v>1</v>
      </c>
      <c r="CO13" s="434">
        <v>0</v>
      </c>
      <c r="CP13" s="488">
        <f t="shared" si="3"/>
        <v>1</v>
      </c>
      <c r="CQ13" s="432">
        <v>0</v>
      </c>
      <c r="CR13" s="432">
        <f t="shared" si="4"/>
        <v>1</v>
      </c>
      <c r="CS13" s="395">
        <v>0</v>
      </c>
      <c r="CT13" s="482">
        <f t="shared" si="5"/>
        <v>1</v>
      </c>
      <c r="CU13" s="395">
        <v>0</v>
      </c>
      <c r="CV13" s="486">
        <f t="shared" si="6"/>
        <v>1</v>
      </c>
      <c r="CW13" s="481">
        <v>0</v>
      </c>
      <c r="CX13" s="482">
        <f t="shared" si="7"/>
        <v>1</v>
      </c>
      <c r="CY13" s="620">
        <v>1</v>
      </c>
      <c r="CZ13" s="621">
        <f t="shared" si="41"/>
        <v>0.5</v>
      </c>
      <c r="DA13" s="643">
        <v>0</v>
      </c>
      <c r="DB13" s="482">
        <f t="shared" si="8"/>
        <v>1</v>
      </c>
      <c r="DC13" s="489"/>
      <c r="DD13" s="482">
        <f t="shared" si="9"/>
        <v>1</v>
      </c>
      <c r="DE13" s="502">
        <v>0</v>
      </c>
      <c r="DF13" s="430">
        <f t="shared" si="30"/>
        <v>1</v>
      </c>
      <c r="DG13" s="500">
        <v>1</v>
      </c>
      <c r="DH13" s="430">
        <f t="shared" si="31"/>
        <v>0.8333333333333334</v>
      </c>
      <c r="DI13" s="434"/>
      <c r="DJ13" s="482">
        <f t="shared" si="10"/>
        <v>1</v>
      </c>
      <c r="DK13" s="395">
        <v>0</v>
      </c>
      <c r="DL13" s="432">
        <v>1</v>
      </c>
      <c r="DM13" s="575">
        <v>0</v>
      </c>
      <c r="DN13" s="574">
        <v>1</v>
      </c>
      <c r="DO13" s="395"/>
      <c r="DP13" s="516">
        <f t="shared" si="11"/>
        <v>1</v>
      </c>
      <c r="DQ13" s="633">
        <f>48+49+28+19</f>
        <v>144</v>
      </c>
      <c r="DR13" s="634">
        <f>1-DQ13/(525+494+543+362)*100/100</f>
        <v>0.9251559251559252</v>
      </c>
      <c r="DS13" s="395"/>
      <c r="DT13" s="490">
        <f t="shared" si="12"/>
        <v>1</v>
      </c>
      <c r="DU13" s="491"/>
      <c r="DV13" s="482">
        <v>1</v>
      </c>
      <c r="DW13" s="491"/>
      <c r="DX13" s="491"/>
      <c r="DY13" s="482">
        <v>1</v>
      </c>
      <c r="DZ13" s="491"/>
      <c r="EA13" s="491"/>
      <c r="EB13" s="482">
        <v>1</v>
      </c>
      <c r="EC13" s="491"/>
      <c r="ED13" s="491"/>
      <c r="EE13" s="482">
        <v>1</v>
      </c>
      <c r="EF13" s="491"/>
      <c r="EG13" s="491"/>
      <c r="EH13" s="482">
        <v>1</v>
      </c>
      <c r="EI13" s="491"/>
      <c r="EJ13" s="491"/>
      <c r="EK13" s="482">
        <v>1</v>
      </c>
      <c r="EL13" s="491"/>
      <c r="EM13" s="491"/>
      <c r="EN13" s="482"/>
      <c r="EO13" s="432"/>
      <c r="EP13" s="432"/>
      <c r="EQ13" s="482"/>
      <c r="ER13" s="432">
        <f t="shared" si="32"/>
        <v>18.263775429616274</v>
      </c>
      <c r="ES13" s="518">
        <v>22</v>
      </c>
      <c r="ET13" s="432" t="s">
        <v>117</v>
      </c>
      <c r="EV13" s="54">
        <v>21.545696582639835</v>
      </c>
      <c r="EW13" s="54">
        <v>13</v>
      </c>
      <c r="EX13" s="54">
        <v>1.552704073700215</v>
      </c>
      <c r="EY13" s="54" t="s">
        <v>117</v>
      </c>
      <c r="EZ13" s="441">
        <f t="shared" si="13"/>
        <v>144</v>
      </c>
      <c r="FB13" s="432"/>
    </row>
    <row r="14" spans="1:158" s="54" customFormat="1" ht="18.75">
      <c r="A14" s="479">
        <v>5</v>
      </c>
      <c r="B14" s="493" t="s">
        <v>122</v>
      </c>
      <c r="C14" s="626">
        <v>0</v>
      </c>
      <c r="D14" s="621">
        <v>1</v>
      </c>
      <c r="E14" s="481"/>
      <c r="F14" s="482">
        <v>1</v>
      </c>
      <c r="G14" s="508">
        <v>15302.27303</v>
      </c>
      <c r="H14" s="506">
        <v>15938.350359999999</v>
      </c>
      <c r="I14" s="433">
        <f aca="true" t="shared" si="43" ref="I14:I32">(G14-H14)/G14*100%</f>
        <v>-0.041567506262172496</v>
      </c>
      <c r="J14" s="484">
        <v>0</v>
      </c>
      <c r="K14" s="569">
        <v>11981.33402</v>
      </c>
      <c r="L14" s="554">
        <v>12429.42201</v>
      </c>
      <c r="M14" s="61">
        <f t="shared" si="0"/>
        <v>0.9639494105486567</v>
      </c>
      <c r="N14" s="485">
        <v>1</v>
      </c>
      <c r="O14" s="569">
        <v>11981.33402</v>
      </c>
      <c r="P14" s="611">
        <v>27816.03516</v>
      </c>
      <c r="Q14" s="58">
        <f t="shared" si="42"/>
        <v>0.4307347884442349</v>
      </c>
      <c r="R14" s="557">
        <f t="shared" si="33"/>
        <v>0.9571884187649664</v>
      </c>
      <c r="S14" s="569">
        <f>11981.33402-721.86733</f>
        <v>11259.466690000001</v>
      </c>
      <c r="T14" s="556"/>
      <c r="U14" s="569">
        <f>11382.36267-598.29564</f>
        <v>10784.06703</v>
      </c>
      <c r="V14" s="496">
        <f t="shared" si="14"/>
        <v>1.04408352235548</v>
      </c>
      <c r="W14" s="35">
        <f t="shared" si="15"/>
        <v>1</v>
      </c>
      <c r="X14" s="559">
        <v>626.24764</v>
      </c>
      <c r="Y14" s="559">
        <v>561.27907</v>
      </c>
      <c r="Z14" s="497">
        <f t="shared" si="34"/>
        <v>0.8962573815048629</v>
      </c>
      <c r="AA14" s="560">
        <f t="shared" si="16"/>
        <v>0.1037426184951371</v>
      </c>
      <c r="AB14" s="559">
        <v>561.27907</v>
      </c>
      <c r="AC14" s="561">
        <f>848.12106+721.86733-0.07312+10212.04779+29.2</f>
        <v>11811.16306</v>
      </c>
      <c r="AD14" s="61">
        <f t="shared" si="35"/>
        <v>0.04752106690498946</v>
      </c>
      <c r="AE14" s="562">
        <f t="shared" si="17"/>
        <v>0.9524789330950105</v>
      </c>
      <c r="AF14" s="563">
        <v>316.53949</v>
      </c>
      <c r="AG14" s="554">
        <v>12429.42201</v>
      </c>
      <c r="AH14" s="612">
        <v>141.39983</v>
      </c>
      <c r="AI14" s="58">
        <f t="shared" si="36"/>
        <v>0.02576000314478599</v>
      </c>
      <c r="AJ14" s="565">
        <v>1</v>
      </c>
      <c r="AK14" s="571">
        <v>0</v>
      </c>
      <c r="AL14" s="571">
        <v>0</v>
      </c>
      <c r="AM14" s="567">
        <v>0</v>
      </c>
      <c r="AN14" s="485">
        <v>1</v>
      </c>
      <c r="AO14" s="576">
        <v>4289.5</v>
      </c>
      <c r="AP14" s="582">
        <v>4289.5</v>
      </c>
      <c r="AQ14" s="433">
        <f t="shared" si="37"/>
        <v>1</v>
      </c>
      <c r="AR14" s="395">
        <v>1</v>
      </c>
      <c r="AS14" s="432"/>
      <c r="AT14" s="615"/>
      <c r="AU14" s="553">
        <v>29100.49</v>
      </c>
      <c r="AV14" s="584">
        <v>9349.21</v>
      </c>
      <c r="AW14" s="433">
        <f t="shared" si="18"/>
        <v>0.32127328440174024</v>
      </c>
      <c r="AX14" s="586">
        <v>1</v>
      </c>
      <c r="AY14" s="576">
        <v>4289.5</v>
      </c>
      <c r="AZ14" s="588">
        <f t="shared" si="19"/>
        <v>100</v>
      </c>
      <c r="BA14" s="588">
        <f t="shared" si="20"/>
        <v>45.880881914086864</v>
      </c>
      <c r="BB14" s="589">
        <v>0.5</v>
      </c>
      <c r="BC14" s="589">
        <v>1</v>
      </c>
      <c r="BD14" s="593">
        <v>3594</v>
      </c>
      <c r="BE14" s="591">
        <f t="shared" si="21"/>
        <v>29100.49</v>
      </c>
      <c r="BF14" s="592">
        <f t="shared" si="22"/>
        <v>104.17126497024036</v>
      </c>
      <c r="BG14" s="586">
        <v>1</v>
      </c>
      <c r="BH14" s="589">
        <f>BE14*100/BE54</f>
        <v>3.7843319280217105</v>
      </c>
      <c r="BI14" s="432">
        <f t="shared" si="1"/>
        <v>39.86478610560671</v>
      </c>
      <c r="BJ14" s="432">
        <f t="shared" si="2"/>
        <v>5.8761897136439964</v>
      </c>
      <c r="BK14" s="588">
        <v>1710</v>
      </c>
      <c r="BL14" s="432">
        <f t="shared" si="23"/>
        <v>3594</v>
      </c>
      <c r="BM14" s="433">
        <f t="shared" si="24"/>
        <v>0.3761038395120728</v>
      </c>
      <c r="BN14" s="586">
        <v>0</v>
      </c>
      <c r="BO14" s="596">
        <v>686.65</v>
      </c>
      <c r="BP14" s="596">
        <v>156.18</v>
      </c>
      <c r="BQ14" s="432">
        <f t="shared" si="38"/>
        <v>22.745212262433554</v>
      </c>
      <c r="BR14" s="433">
        <f t="shared" si="39"/>
        <v>0.22745212262433556</v>
      </c>
      <c r="BS14" s="592">
        <v>0</v>
      </c>
      <c r="BT14" s="601">
        <f t="shared" si="25"/>
        <v>29100.49</v>
      </c>
      <c r="BU14" s="604">
        <v>1</v>
      </c>
      <c r="BV14" s="605">
        <v>1</v>
      </c>
      <c r="BW14" s="608">
        <v>8.02765758439635</v>
      </c>
      <c r="BX14" s="609">
        <v>0.9197234241560365</v>
      </c>
      <c r="BY14" s="620">
        <v>0</v>
      </c>
      <c r="BZ14" s="621">
        <f t="shared" si="40"/>
        <v>1</v>
      </c>
      <c r="CA14" s="630" t="s">
        <v>184</v>
      </c>
      <c r="CB14" s="36" t="s">
        <v>184</v>
      </c>
      <c r="CC14" s="500">
        <v>0</v>
      </c>
      <c r="CD14" s="430">
        <f t="shared" si="27"/>
        <v>1</v>
      </c>
      <c r="CE14" s="395">
        <v>0</v>
      </c>
      <c r="CF14" s="395">
        <v>1</v>
      </c>
      <c r="CG14" s="395">
        <v>0</v>
      </c>
      <c r="CH14" s="432">
        <v>1</v>
      </c>
      <c r="CI14" s="395">
        <v>0</v>
      </c>
      <c r="CJ14" s="395">
        <v>1</v>
      </c>
      <c r="CK14" s="432">
        <v>0</v>
      </c>
      <c r="CL14" s="502">
        <v>1</v>
      </c>
      <c r="CM14" s="431">
        <f>BY14+CC14+CE14+CG14+CI14+CK14</f>
        <v>0</v>
      </c>
      <c r="CN14" s="504">
        <f t="shared" si="29"/>
        <v>1</v>
      </c>
      <c r="CO14" s="434">
        <v>0</v>
      </c>
      <c r="CP14" s="488">
        <f t="shared" si="3"/>
        <v>1</v>
      </c>
      <c r="CQ14" s="432">
        <v>0</v>
      </c>
      <c r="CR14" s="432">
        <f t="shared" si="4"/>
        <v>1</v>
      </c>
      <c r="CS14" s="395">
        <v>0</v>
      </c>
      <c r="CT14" s="482">
        <f t="shared" si="5"/>
        <v>1</v>
      </c>
      <c r="CU14" s="395">
        <v>0</v>
      </c>
      <c r="CV14" s="486">
        <f t="shared" si="6"/>
        <v>1</v>
      </c>
      <c r="CW14" s="481">
        <v>0</v>
      </c>
      <c r="CX14" s="482">
        <f t="shared" si="7"/>
        <v>1</v>
      </c>
      <c r="CY14" s="620">
        <v>0</v>
      </c>
      <c r="CZ14" s="621">
        <f t="shared" si="41"/>
        <v>1</v>
      </c>
      <c r="DA14" s="643">
        <v>0</v>
      </c>
      <c r="DB14" s="482">
        <f t="shared" si="8"/>
        <v>1</v>
      </c>
      <c r="DC14" s="489"/>
      <c r="DD14" s="482">
        <f t="shared" si="9"/>
        <v>1</v>
      </c>
      <c r="DE14" s="502">
        <v>1</v>
      </c>
      <c r="DF14" s="430">
        <f t="shared" si="30"/>
        <v>0.5</v>
      </c>
      <c r="DG14" s="500">
        <f>1+1</f>
        <v>2</v>
      </c>
      <c r="DH14" s="430">
        <f t="shared" si="31"/>
        <v>0.6666666666666667</v>
      </c>
      <c r="DI14" s="434"/>
      <c r="DJ14" s="482">
        <f t="shared" si="10"/>
        <v>1</v>
      </c>
      <c r="DK14" s="395">
        <v>0</v>
      </c>
      <c r="DL14" s="432">
        <v>1</v>
      </c>
      <c r="DM14" s="575">
        <v>0</v>
      </c>
      <c r="DN14" s="574">
        <v>1</v>
      </c>
      <c r="DO14" s="395"/>
      <c r="DP14" s="516">
        <f t="shared" si="11"/>
        <v>1</v>
      </c>
      <c r="DQ14" s="633">
        <f>40+41+45+30</f>
        <v>156</v>
      </c>
      <c r="DR14" s="634">
        <f>1-DQ14/(401+410+451+301)*100/100</f>
        <v>0.9001919385796545</v>
      </c>
      <c r="DS14" s="395">
        <v>1</v>
      </c>
      <c r="DT14" s="490">
        <f t="shared" si="12"/>
        <v>0</v>
      </c>
      <c r="DU14" s="491"/>
      <c r="DV14" s="482">
        <v>1</v>
      </c>
      <c r="DW14" s="491"/>
      <c r="DX14" s="491"/>
      <c r="DY14" s="482">
        <v>1</v>
      </c>
      <c r="DZ14" s="491"/>
      <c r="EA14" s="491"/>
      <c r="EB14" s="482">
        <v>1</v>
      </c>
      <c r="EC14" s="491"/>
      <c r="ED14" s="491"/>
      <c r="EE14" s="482">
        <v>1</v>
      </c>
      <c r="EF14" s="491"/>
      <c r="EG14" s="491"/>
      <c r="EH14" s="482">
        <v>1</v>
      </c>
      <c r="EI14" s="491"/>
      <c r="EJ14" s="491"/>
      <c r="EK14" s="482">
        <v>1</v>
      </c>
      <c r="EL14" s="491"/>
      <c r="EM14" s="491"/>
      <c r="EN14" s="482"/>
      <c r="EO14" s="432"/>
      <c r="EP14" s="432"/>
      <c r="EQ14" s="482"/>
      <c r="ER14" s="432">
        <f t="shared" si="32"/>
        <v>21.333325333090805</v>
      </c>
      <c r="ES14" s="518">
        <v>4</v>
      </c>
      <c r="ET14" s="432" t="s">
        <v>117</v>
      </c>
      <c r="EU14" s="80"/>
      <c r="EV14" s="54">
        <v>22.354608989794855</v>
      </c>
      <c r="EW14" s="54">
        <v>6</v>
      </c>
      <c r="EX14" s="54">
        <v>1.552704073700215</v>
      </c>
      <c r="EY14" s="54" t="s">
        <v>117</v>
      </c>
      <c r="EZ14" s="441">
        <f t="shared" si="13"/>
        <v>157</v>
      </c>
      <c r="FB14" s="432"/>
    </row>
    <row r="15" spans="1:158" s="54" customFormat="1" ht="18.75">
      <c r="A15" s="479">
        <v>6</v>
      </c>
      <c r="B15" s="493" t="s">
        <v>123</v>
      </c>
      <c r="C15" s="626">
        <v>0</v>
      </c>
      <c r="D15" s="621">
        <v>1</v>
      </c>
      <c r="E15" s="481"/>
      <c r="F15" s="482">
        <v>1</v>
      </c>
      <c r="G15" s="508">
        <v>1657.2</v>
      </c>
      <c r="H15" s="506">
        <v>2084.48866</v>
      </c>
      <c r="I15" s="433">
        <f t="shared" si="43"/>
        <v>-0.2578377142167511</v>
      </c>
      <c r="J15" s="484">
        <v>0</v>
      </c>
      <c r="K15" s="569">
        <v>1552.26227</v>
      </c>
      <c r="L15" s="556">
        <v>5629.75913</v>
      </c>
      <c r="M15" s="61">
        <f t="shared" si="0"/>
        <v>0.2757244553729246</v>
      </c>
      <c r="N15" s="485">
        <v>0.3</v>
      </c>
      <c r="O15" s="569">
        <v>1552.26227</v>
      </c>
      <c r="P15" s="611">
        <v>5391.43</v>
      </c>
      <c r="Q15" s="58">
        <f t="shared" si="42"/>
        <v>0.2879129043685998</v>
      </c>
      <c r="R15" s="557">
        <f t="shared" si="33"/>
        <v>0.639806454152444</v>
      </c>
      <c r="S15" s="569">
        <f>1552.26227-586.13159</f>
        <v>966.13068</v>
      </c>
      <c r="T15" s="556"/>
      <c r="U15" s="569">
        <f>1498.52144-492.56242</f>
        <v>1005.95902</v>
      </c>
      <c r="V15" s="496">
        <f t="shared" si="14"/>
        <v>0.9604075919514097</v>
      </c>
      <c r="W15" s="35">
        <f t="shared" si="15"/>
        <v>0</v>
      </c>
      <c r="X15" s="559">
        <v>1527.36098</v>
      </c>
      <c r="Y15" s="559">
        <v>1452.41585</v>
      </c>
      <c r="Z15" s="497">
        <f t="shared" si="34"/>
        <v>0.9509316193215831</v>
      </c>
      <c r="AA15" s="560">
        <f t="shared" si="16"/>
        <v>0.0490683806784169</v>
      </c>
      <c r="AB15" s="559">
        <v>1452.41585</v>
      </c>
      <c r="AC15" s="561">
        <f>146.65623+586.13159+23.11332+339.98562+9.304</f>
        <v>1105.1907600000002</v>
      </c>
      <c r="AD15" s="61">
        <f t="shared" si="35"/>
        <v>1.3141766132753407</v>
      </c>
      <c r="AE15" s="562">
        <v>0</v>
      </c>
      <c r="AF15" s="563">
        <v>4077.49686</v>
      </c>
      <c r="AG15" s="556">
        <v>5629.75913</v>
      </c>
      <c r="AH15" s="612">
        <v>97.828</v>
      </c>
      <c r="AI15" s="58">
        <f t="shared" si="36"/>
        <v>0.7370838074768296</v>
      </c>
      <c r="AJ15" s="565">
        <v>0.3</v>
      </c>
      <c r="AK15" s="571">
        <v>-156.56182</v>
      </c>
      <c r="AL15" s="571">
        <v>-345.87935</v>
      </c>
      <c r="AM15" s="567">
        <v>-189.3</v>
      </c>
      <c r="AN15" s="485">
        <v>1</v>
      </c>
      <c r="AO15" s="576">
        <v>2414.45</v>
      </c>
      <c r="AP15" s="582">
        <v>3384.7</v>
      </c>
      <c r="AQ15" s="433">
        <f t="shared" si="37"/>
        <v>0.7133423937128844</v>
      </c>
      <c r="AR15" s="395">
        <v>1</v>
      </c>
      <c r="AS15" s="432"/>
      <c r="AT15" s="615"/>
      <c r="AU15" s="553">
        <v>14382.92</v>
      </c>
      <c r="AV15" s="584">
        <v>3848.99</v>
      </c>
      <c r="AW15" s="433">
        <f t="shared" si="18"/>
        <v>0.26760838550169225</v>
      </c>
      <c r="AX15" s="586">
        <v>1</v>
      </c>
      <c r="AY15" s="576">
        <v>2015.86</v>
      </c>
      <c r="AZ15" s="588">
        <f t="shared" si="19"/>
        <v>83.49147839052372</v>
      </c>
      <c r="BA15" s="588">
        <f t="shared" si="20"/>
        <v>52.373739604415704</v>
      </c>
      <c r="BB15" s="589">
        <v>0.5</v>
      </c>
      <c r="BC15" s="589">
        <v>1</v>
      </c>
      <c r="BD15" s="593">
        <v>1930</v>
      </c>
      <c r="BE15" s="591">
        <f t="shared" si="21"/>
        <v>14382.92</v>
      </c>
      <c r="BF15" s="592">
        <f t="shared" si="22"/>
        <v>95.87722700712203</v>
      </c>
      <c r="BG15" s="586">
        <v>0.9</v>
      </c>
      <c r="BH15" s="589">
        <f>BE15*100/BE57</f>
        <v>1.8704064218225198</v>
      </c>
      <c r="BI15" s="432">
        <f t="shared" si="1"/>
        <v>3.55153347553273</v>
      </c>
      <c r="BJ15" s="432">
        <f t="shared" si="2"/>
        <v>0.5961932625642081</v>
      </c>
      <c r="BK15" s="588">
        <v>85.75</v>
      </c>
      <c r="BL15" s="432">
        <f t="shared" si="23"/>
        <v>1930</v>
      </c>
      <c r="BM15" s="433">
        <f t="shared" si="24"/>
        <v>0.0351209737999418</v>
      </c>
      <c r="BN15" s="586">
        <v>0</v>
      </c>
      <c r="BO15" s="597">
        <v>8639.16</v>
      </c>
      <c r="BP15" s="597">
        <v>3753.17</v>
      </c>
      <c r="BQ15" s="432">
        <f t="shared" si="38"/>
        <v>43.44369128480084</v>
      </c>
      <c r="BR15" s="433">
        <f t="shared" si="39"/>
        <v>0.4344369128480084</v>
      </c>
      <c r="BS15" s="592">
        <v>0</v>
      </c>
      <c r="BT15" s="601">
        <f t="shared" si="25"/>
        <v>14382.92</v>
      </c>
      <c r="BU15" s="604">
        <v>1</v>
      </c>
      <c r="BV15" s="605">
        <v>1</v>
      </c>
      <c r="BW15" s="608">
        <v>0</v>
      </c>
      <c r="BX15" s="609">
        <v>1</v>
      </c>
      <c r="BY15" s="620">
        <v>0</v>
      </c>
      <c r="BZ15" s="621">
        <f t="shared" si="40"/>
        <v>1</v>
      </c>
      <c r="CA15" s="630">
        <v>0</v>
      </c>
      <c r="CB15" s="42">
        <f t="shared" si="26"/>
        <v>1</v>
      </c>
      <c r="CC15" s="500">
        <v>0</v>
      </c>
      <c r="CD15" s="430">
        <f t="shared" si="27"/>
        <v>1</v>
      </c>
      <c r="CE15" s="395">
        <v>0</v>
      </c>
      <c r="CF15" s="395">
        <v>1</v>
      </c>
      <c r="CG15" s="395">
        <v>0</v>
      </c>
      <c r="CH15" s="432">
        <v>11</v>
      </c>
      <c r="CI15" s="395">
        <v>0</v>
      </c>
      <c r="CJ15" s="395">
        <v>1</v>
      </c>
      <c r="CK15" s="432">
        <v>0</v>
      </c>
      <c r="CL15" s="502">
        <v>1</v>
      </c>
      <c r="CM15" s="431">
        <f t="shared" si="28"/>
        <v>0</v>
      </c>
      <c r="CN15" s="504">
        <f t="shared" si="29"/>
        <v>1</v>
      </c>
      <c r="CO15" s="434">
        <v>0</v>
      </c>
      <c r="CP15" s="488">
        <f t="shared" si="3"/>
        <v>1</v>
      </c>
      <c r="CQ15" s="432">
        <v>0</v>
      </c>
      <c r="CR15" s="432">
        <f t="shared" si="4"/>
        <v>1</v>
      </c>
      <c r="CS15" s="395">
        <v>0</v>
      </c>
      <c r="CT15" s="482">
        <f t="shared" si="5"/>
        <v>1</v>
      </c>
      <c r="CU15" s="395">
        <v>0</v>
      </c>
      <c r="CV15" s="486">
        <f t="shared" si="6"/>
        <v>1</v>
      </c>
      <c r="CW15" s="481">
        <v>0</v>
      </c>
      <c r="CX15" s="482">
        <f t="shared" si="7"/>
        <v>1</v>
      </c>
      <c r="CY15" s="620">
        <v>1</v>
      </c>
      <c r="CZ15" s="621">
        <f t="shared" si="41"/>
        <v>0.5</v>
      </c>
      <c r="DA15" s="643">
        <v>0</v>
      </c>
      <c r="DB15" s="482">
        <f t="shared" si="8"/>
        <v>1</v>
      </c>
      <c r="DC15" s="489"/>
      <c r="DD15" s="482">
        <f t="shared" si="9"/>
        <v>1</v>
      </c>
      <c r="DE15" s="502">
        <v>0</v>
      </c>
      <c r="DF15" s="430">
        <f t="shared" si="30"/>
        <v>1</v>
      </c>
      <c r="DG15" s="500">
        <v>1</v>
      </c>
      <c r="DH15" s="430">
        <f t="shared" si="31"/>
        <v>0.8333333333333334</v>
      </c>
      <c r="DI15" s="434"/>
      <c r="DJ15" s="482">
        <f t="shared" si="10"/>
        <v>1</v>
      </c>
      <c r="DK15" s="395">
        <v>0</v>
      </c>
      <c r="DL15" s="432">
        <v>1</v>
      </c>
      <c r="DM15" s="575">
        <v>0</v>
      </c>
      <c r="DN15" s="574">
        <v>1</v>
      </c>
      <c r="DO15" s="395"/>
      <c r="DP15" s="516">
        <f t="shared" si="11"/>
        <v>1</v>
      </c>
      <c r="DQ15" s="633">
        <f>97+142+125+80</f>
        <v>444</v>
      </c>
      <c r="DR15" s="634">
        <f>1-DQ15/(325+285+313+208)*100/100</f>
        <v>0.6074270557029178</v>
      </c>
      <c r="DS15" s="395"/>
      <c r="DT15" s="490">
        <f t="shared" si="12"/>
        <v>1</v>
      </c>
      <c r="DU15" s="491"/>
      <c r="DV15" s="482">
        <v>1</v>
      </c>
      <c r="DW15" s="491"/>
      <c r="DX15" s="491"/>
      <c r="DY15" s="482">
        <v>1</v>
      </c>
      <c r="DZ15" s="491"/>
      <c r="EA15" s="491"/>
      <c r="EB15" s="482">
        <v>1</v>
      </c>
      <c r="EC15" s="491"/>
      <c r="ED15" s="491"/>
      <c r="EE15" s="482">
        <v>1</v>
      </c>
      <c r="EF15" s="491"/>
      <c r="EG15" s="491"/>
      <c r="EH15" s="482">
        <v>1</v>
      </c>
      <c r="EI15" s="491"/>
      <c r="EJ15" s="491"/>
      <c r="EK15" s="482">
        <v>1</v>
      </c>
      <c r="EL15" s="491"/>
      <c r="EM15" s="491"/>
      <c r="EN15" s="482"/>
      <c r="EO15" s="432"/>
      <c r="EP15" s="432"/>
      <c r="EQ15" s="482"/>
      <c r="ER15" s="432">
        <f t="shared" si="32"/>
        <v>18.296301890533776</v>
      </c>
      <c r="ES15" s="518">
        <v>23</v>
      </c>
      <c r="ET15" s="432" t="s">
        <v>117</v>
      </c>
      <c r="EU15" s="80"/>
      <c r="EV15" s="54">
        <v>22.89823777907702</v>
      </c>
      <c r="EW15" s="54">
        <v>19</v>
      </c>
      <c r="EX15" s="54">
        <v>1.552704073700215</v>
      </c>
      <c r="EY15" s="54" t="s">
        <v>116</v>
      </c>
      <c r="EZ15" s="441">
        <f t="shared" si="13"/>
        <v>444</v>
      </c>
      <c r="FB15" s="432"/>
    </row>
    <row r="16" spans="1:158" s="54" customFormat="1" ht="18.75">
      <c r="A16" s="479">
        <v>7</v>
      </c>
      <c r="B16" s="493" t="s">
        <v>124</v>
      </c>
      <c r="C16" s="626">
        <v>0</v>
      </c>
      <c r="D16" s="621">
        <v>1</v>
      </c>
      <c r="E16" s="481"/>
      <c r="F16" s="482">
        <v>1</v>
      </c>
      <c r="G16" s="508">
        <v>3051.40002</v>
      </c>
      <c r="H16" s="506">
        <v>3371.7479099999996</v>
      </c>
      <c r="I16" s="433">
        <f t="shared" si="43"/>
        <v>-0.10498390506007782</v>
      </c>
      <c r="J16" s="484">
        <v>0</v>
      </c>
      <c r="K16" s="569">
        <v>1824.22094</v>
      </c>
      <c r="L16" s="556">
        <v>5333.42414</v>
      </c>
      <c r="M16" s="61">
        <f t="shared" si="0"/>
        <v>0.3420356026663201</v>
      </c>
      <c r="N16" s="485">
        <v>0.5</v>
      </c>
      <c r="O16" s="569">
        <v>1824.22094</v>
      </c>
      <c r="P16" s="611">
        <v>4715.182</v>
      </c>
      <c r="Q16" s="58">
        <f t="shared" si="42"/>
        <v>0.38688240241840083</v>
      </c>
      <c r="R16" s="557">
        <f t="shared" si="33"/>
        <v>0.8597386720408907</v>
      </c>
      <c r="S16" s="569">
        <f>1824.22094-502.8392</f>
        <v>1321.3817399999998</v>
      </c>
      <c r="T16" s="556"/>
      <c r="U16" s="569">
        <f>1696.32432-422.93313</f>
        <v>1273.3911899999998</v>
      </c>
      <c r="V16" s="496">
        <f t="shared" si="14"/>
        <v>1.0376872012126925</v>
      </c>
      <c r="W16" s="35">
        <f t="shared" si="15"/>
        <v>1</v>
      </c>
      <c r="X16" s="559">
        <v>1462.02716</v>
      </c>
      <c r="Y16" s="559">
        <v>1844.88783</v>
      </c>
      <c r="Z16" s="497">
        <f t="shared" si="34"/>
        <v>1.2618697384527382</v>
      </c>
      <c r="AA16" s="560">
        <v>0</v>
      </c>
      <c r="AB16" s="559">
        <v>1844.88783</v>
      </c>
      <c r="AC16" s="561">
        <f>703.27124+502.8392+325.05797+3.9</f>
        <v>1535.06841</v>
      </c>
      <c r="AD16" s="61">
        <f t="shared" si="35"/>
        <v>1.201827760887868</v>
      </c>
      <c r="AE16" s="562">
        <v>0</v>
      </c>
      <c r="AF16" s="563">
        <v>3409.2032</v>
      </c>
      <c r="AG16" s="556">
        <v>5333.42414</v>
      </c>
      <c r="AH16" s="612">
        <v>197.34414</v>
      </c>
      <c r="AI16" s="58">
        <f>AF16/(AG16-AH16)*100%</f>
        <v>0.6637753306023271</v>
      </c>
      <c r="AJ16" s="565">
        <v>0.5</v>
      </c>
      <c r="AK16" s="571">
        <v>-216.2654</v>
      </c>
      <c r="AL16" s="571">
        <v>-332.78425</v>
      </c>
      <c r="AM16" s="567">
        <v>-116.5</v>
      </c>
      <c r="AN16" s="485">
        <v>1</v>
      </c>
      <c r="AO16" s="576">
        <v>3711.3</v>
      </c>
      <c r="AP16" s="582">
        <v>4659.2</v>
      </c>
      <c r="AQ16" s="433">
        <f t="shared" si="37"/>
        <v>0.7965530563186813</v>
      </c>
      <c r="AR16" s="395">
        <v>1</v>
      </c>
      <c r="AS16" s="432"/>
      <c r="AT16" s="615"/>
      <c r="AU16" s="553">
        <v>14615.25</v>
      </c>
      <c r="AV16" s="584">
        <v>6158.01</v>
      </c>
      <c r="AW16" s="433">
        <f t="shared" si="18"/>
        <v>0.4213414070919074</v>
      </c>
      <c r="AX16" s="586">
        <v>1</v>
      </c>
      <c r="AY16" s="576">
        <v>3687</v>
      </c>
      <c r="AZ16" s="588">
        <f t="shared" si="19"/>
        <v>99.34524290679815</v>
      </c>
      <c r="BA16" s="588">
        <f t="shared" si="20"/>
        <v>59.873238270155454</v>
      </c>
      <c r="BB16" s="589">
        <v>0.5</v>
      </c>
      <c r="BC16" s="589">
        <v>1</v>
      </c>
      <c r="BD16" s="593">
        <v>4748</v>
      </c>
      <c r="BE16" s="591">
        <f t="shared" si="21"/>
        <v>14615.25</v>
      </c>
      <c r="BF16" s="592">
        <f t="shared" si="22"/>
        <v>39.602376396354465</v>
      </c>
      <c r="BG16" s="586">
        <v>0</v>
      </c>
      <c r="BH16" s="589">
        <f>BE16*100/BE51</f>
        <v>1.900619446992793</v>
      </c>
      <c r="BI16" s="432">
        <f t="shared" si="1"/>
        <v>12.906528709616575</v>
      </c>
      <c r="BJ16" s="432">
        <f t="shared" si="2"/>
        <v>3.2773986076187542</v>
      </c>
      <c r="BK16" s="588">
        <v>479</v>
      </c>
      <c r="BL16" s="432">
        <f t="shared" si="23"/>
        <v>4748</v>
      </c>
      <c r="BM16" s="433">
        <f t="shared" si="24"/>
        <v>0.07974703272043886</v>
      </c>
      <c r="BN16" s="586">
        <v>0</v>
      </c>
      <c r="BO16" s="598">
        <v>9162.58</v>
      </c>
      <c r="BP16" s="598">
        <v>3123.34</v>
      </c>
      <c r="BQ16" s="432">
        <f t="shared" si="38"/>
        <v>34.08799704886615</v>
      </c>
      <c r="BR16" s="433">
        <f t="shared" si="39"/>
        <v>0.34087997048866153</v>
      </c>
      <c r="BS16" s="592">
        <v>0</v>
      </c>
      <c r="BT16" s="601">
        <f t="shared" si="25"/>
        <v>14615.25</v>
      </c>
      <c r="BU16" s="604">
        <v>1</v>
      </c>
      <c r="BV16" s="605">
        <v>1</v>
      </c>
      <c r="BW16" s="608">
        <v>0</v>
      </c>
      <c r="BX16" s="609">
        <v>1</v>
      </c>
      <c r="BY16" s="620">
        <v>0</v>
      </c>
      <c r="BZ16" s="621">
        <f t="shared" si="40"/>
        <v>1</v>
      </c>
      <c r="CA16" s="630">
        <v>0</v>
      </c>
      <c r="CB16" s="42">
        <f t="shared" si="26"/>
        <v>1</v>
      </c>
      <c r="CC16" s="500">
        <v>0</v>
      </c>
      <c r="CD16" s="430">
        <f t="shared" si="27"/>
        <v>1</v>
      </c>
      <c r="CE16" s="395">
        <v>0</v>
      </c>
      <c r="CF16" s="395">
        <v>1</v>
      </c>
      <c r="CG16" s="395">
        <v>0</v>
      </c>
      <c r="CH16" s="432">
        <v>1</v>
      </c>
      <c r="CI16" s="395">
        <v>0</v>
      </c>
      <c r="CJ16" s="395">
        <v>1</v>
      </c>
      <c r="CK16" s="432">
        <v>0</v>
      </c>
      <c r="CL16" s="502">
        <v>1</v>
      </c>
      <c r="CM16" s="431">
        <f t="shared" si="28"/>
        <v>0</v>
      </c>
      <c r="CN16" s="504">
        <f t="shared" si="29"/>
        <v>1</v>
      </c>
      <c r="CO16" s="434">
        <v>0</v>
      </c>
      <c r="CP16" s="488">
        <f t="shared" si="3"/>
        <v>1</v>
      </c>
      <c r="CQ16" s="432">
        <v>0</v>
      </c>
      <c r="CR16" s="432">
        <f t="shared" si="4"/>
        <v>1</v>
      </c>
      <c r="CS16" s="395">
        <v>0</v>
      </c>
      <c r="CT16" s="482">
        <f t="shared" si="5"/>
        <v>1</v>
      </c>
      <c r="CU16" s="395">
        <v>0</v>
      </c>
      <c r="CV16" s="486">
        <f t="shared" si="6"/>
        <v>1</v>
      </c>
      <c r="CW16" s="481">
        <v>0</v>
      </c>
      <c r="CX16" s="482">
        <f t="shared" si="7"/>
        <v>1</v>
      </c>
      <c r="CY16" s="620">
        <v>0</v>
      </c>
      <c r="CZ16" s="621">
        <f t="shared" si="41"/>
        <v>1</v>
      </c>
      <c r="DA16" s="643">
        <v>0</v>
      </c>
      <c r="DB16" s="482">
        <f t="shared" si="8"/>
        <v>1</v>
      </c>
      <c r="DC16" s="489"/>
      <c r="DD16" s="482">
        <f t="shared" si="9"/>
        <v>1</v>
      </c>
      <c r="DE16" s="502">
        <v>1</v>
      </c>
      <c r="DF16" s="430">
        <f t="shared" si="30"/>
        <v>0.5</v>
      </c>
      <c r="DG16" s="500">
        <v>0</v>
      </c>
      <c r="DH16" s="430">
        <f t="shared" si="31"/>
        <v>1</v>
      </c>
      <c r="DI16" s="434"/>
      <c r="DJ16" s="482">
        <f t="shared" si="10"/>
        <v>1</v>
      </c>
      <c r="DK16" s="395">
        <v>0</v>
      </c>
      <c r="DL16" s="432">
        <v>1</v>
      </c>
      <c r="DM16" s="575">
        <v>0</v>
      </c>
      <c r="DN16" s="574">
        <v>1</v>
      </c>
      <c r="DO16" s="395"/>
      <c r="DP16" s="516">
        <f t="shared" si="11"/>
        <v>1</v>
      </c>
      <c r="DQ16" s="633">
        <f>22+29+31+20</f>
        <v>102</v>
      </c>
      <c r="DR16" s="634">
        <f>1-DQ16/(225+287+315+210)*100/100</f>
        <v>0.9016393442622951</v>
      </c>
      <c r="DS16" s="395"/>
      <c r="DT16" s="490">
        <f t="shared" si="12"/>
        <v>1</v>
      </c>
      <c r="DU16" s="491"/>
      <c r="DV16" s="482">
        <v>1</v>
      </c>
      <c r="DW16" s="491"/>
      <c r="DX16" s="491"/>
      <c r="DY16" s="482">
        <v>1</v>
      </c>
      <c r="DZ16" s="491"/>
      <c r="EA16" s="491"/>
      <c r="EB16" s="482">
        <v>1</v>
      </c>
      <c r="EC16" s="491"/>
      <c r="ED16" s="491"/>
      <c r="EE16" s="482">
        <v>1</v>
      </c>
      <c r="EF16" s="491"/>
      <c r="EG16" s="491"/>
      <c r="EH16" s="482">
        <v>1</v>
      </c>
      <c r="EI16" s="491"/>
      <c r="EJ16" s="491"/>
      <c r="EK16" s="482">
        <v>1</v>
      </c>
      <c r="EL16" s="491"/>
      <c r="EM16" s="491"/>
      <c r="EN16" s="482"/>
      <c r="EO16" s="432"/>
      <c r="EP16" s="432"/>
      <c r="EQ16" s="482"/>
      <c r="ER16" s="432">
        <f t="shared" si="32"/>
        <v>19.261378016303183</v>
      </c>
      <c r="ES16" s="518">
        <v>17</v>
      </c>
      <c r="ET16" s="432" t="s">
        <v>117</v>
      </c>
      <c r="EU16" s="80"/>
      <c r="EV16" s="54">
        <v>23.68286464453358</v>
      </c>
      <c r="EW16" s="54">
        <v>2</v>
      </c>
      <c r="EX16" s="54">
        <v>1.552704073700215</v>
      </c>
      <c r="EY16" s="54" t="s">
        <v>119</v>
      </c>
      <c r="EZ16" s="441">
        <f t="shared" si="13"/>
        <v>102</v>
      </c>
      <c r="FB16" s="432"/>
    </row>
    <row r="17" spans="1:158" s="54" customFormat="1" ht="18.75">
      <c r="A17" s="479">
        <v>8</v>
      </c>
      <c r="B17" s="493" t="s">
        <v>125</v>
      </c>
      <c r="C17" s="626">
        <v>0</v>
      </c>
      <c r="D17" s="621">
        <v>1</v>
      </c>
      <c r="E17" s="481"/>
      <c r="F17" s="482">
        <v>1</v>
      </c>
      <c r="G17" s="508">
        <v>4716</v>
      </c>
      <c r="H17" s="506">
        <v>5010.73214</v>
      </c>
      <c r="I17" s="433">
        <f>(G17-H17)/G17*100%</f>
        <v>-0.06249621289228161</v>
      </c>
      <c r="J17" s="484">
        <v>0</v>
      </c>
      <c r="K17" s="569">
        <v>13324.98753</v>
      </c>
      <c r="L17" s="556">
        <v>16127.01086</v>
      </c>
      <c r="M17" s="61">
        <f t="shared" si="0"/>
        <v>0.8262527783775548</v>
      </c>
      <c r="N17" s="485">
        <v>1</v>
      </c>
      <c r="O17" s="569">
        <v>13324.98753</v>
      </c>
      <c r="P17" s="611">
        <v>19704.69802</v>
      </c>
      <c r="Q17" s="58">
        <f t="shared" si="42"/>
        <v>0.6762340390334995</v>
      </c>
      <c r="R17" s="557">
        <v>1</v>
      </c>
      <c r="S17" s="569">
        <f>13324.98753-586.13159</f>
        <v>12738.855940000001</v>
      </c>
      <c r="T17" s="556"/>
      <c r="U17" s="569">
        <f>5215.93265-489.98351</f>
        <v>4725.94914</v>
      </c>
      <c r="V17" s="496">
        <f t="shared" si="14"/>
        <v>2.6955127028726342</v>
      </c>
      <c r="W17" s="35">
        <f t="shared" si="15"/>
        <v>1</v>
      </c>
      <c r="X17" s="559">
        <v>517.10126</v>
      </c>
      <c r="Y17" s="559">
        <v>705.21233</v>
      </c>
      <c r="Z17" s="497">
        <f t="shared" si="34"/>
        <v>1.363779949018109</v>
      </c>
      <c r="AA17" s="560">
        <v>0</v>
      </c>
      <c r="AB17" s="559">
        <v>705.21233</v>
      </c>
      <c r="AC17" s="561">
        <f>305.77014+586.13159+1111.23561+858.70896+8.3</f>
        <v>2870.1463000000003</v>
      </c>
      <c r="AD17" s="61">
        <f t="shared" si="35"/>
        <v>0.24570605686546357</v>
      </c>
      <c r="AE17" s="562">
        <f t="shared" si="17"/>
        <v>0.7542939431345365</v>
      </c>
      <c r="AF17" s="563">
        <v>2802.02333</v>
      </c>
      <c r="AG17" s="556">
        <v>16127.01086</v>
      </c>
      <c r="AH17" s="612">
        <v>136.41815</v>
      </c>
      <c r="AI17" s="58">
        <f>AF17/(AG17-AH17)*100%</f>
        <v>0.17522948528654006</v>
      </c>
      <c r="AJ17" s="565">
        <v>1</v>
      </c>
      <c r="AK17" s="571">
        <v>-1086.86198</v>
      </c>
      <c r="AL17" s="571">
        <v>-1931.32457</v>
      </c>
      <c r="AM17" s="567">
        <v>-844.4</v>
      </c>
      <c r="AN17" s="485">
        <v>1</v>
      </c>
      <c r="AO17" s="576">
        <v>3920.73</v>
      </c>
      <c r="AP17" s="582">
        <v>4000.3</v>
      </c>
      <c r="AQ17" s="433">
        <f t="shared" si="37"/>
        <v>0.9801089918256131</v>
      </c>
      <c r="AR17" s="395">
        <v>1</v>
      </c>
      <c r="AS17" s="432"/>
      <c r="AT17" s="615"/>
      <c r="AU17" s="553">
        <v>29702.84</v>
      </c>
      <c r="AV17" s="584">
        <v>7347.54</v>
      </c>
      <c r="AW17" s="433">
        <f t="shared" si="18"/>
        <v>0.247368265122123</v>
      </c>
      <c r="AX17" s="586">
        <v>1</v>
      </c>
      <c r="AY17" s="576">
        <v>3896.43</v>
      </c>
      <c r="AZ17" s="588">
        <f t="shared" si="19"/>
        <v>99.38021745950371</v>
      </c>
      <c r="BA17" s="588">
        <f t="shared" si="20"/>
        <v>53.03040201210201</v>
      </c>
      <c r="BB17" s="589">
        <v>0.5</v>
      </c>
      <c r="BC17" s="589">
        <v>1</v>
      </c>
      <c r="BD17" s="593">
        <v>2900</v>
      </c>
      <c r="BE17" s="591">
        <f t="shared" si="21"/>
        <v>29702.84</v>
      </c>
      <c r="BF17" s="592">
        <f t="shared" si="22"/>
        <v>131.7727734805544</v>
      </c>
      <c r="BG17" s="586">
        <v>1</v>
      </c>
      <c r="BH17" s="589">
        <f>BE17*100/BE20</f>
        <v>210.31298944428866</v>
      </c>
      <c r="BI17" s="432">
        <f t="shared" si="1"/>
        <v>228.35135293682558</v>
      </c>
      <c r="BJ17" s="432">
        <f t="shared" si="2"/>
        <v>30.142033556387204</v>
      </c>
      <c r="BK17" s="588">
        <v>8953.04</v>
      </c>
      <c r="BL17" s="432">
        <f t="shared" si="23"/>
        <v>2900</v>
      </c>
      <c r="BM17" s="433">
        <f t="shared" si="24"/>
        <v>2.4404069677722884</v>
      </c>
      <c r="BN17" s="586">
        <v>1</v>
      </c>
      <c r="BO17" s="599">
        <v>8629.37</v>
      </c>
      <c r="BP17" s="599">
        <v>1287.09</v>
      </c>
      <c r="BQ17" s="432">
        <f t="shared" si="38"/>
        <v>14.915225561078039</v>
      </c>
      <c r="BR17" s="433">
        <f t="shared" si="39"/>
        <v>0.14915225561078038</v>
      </c>
      <c r="BS17" s="592">
        <v>0</v>
      </c>
      <c r="BT17" s="601">
        <f t="shared" si="25"/>
        <v>29702.84</v>
      </c>
      <c r="BU17" s="604">
        <v>1</v>
      </c>
      <c r="BV17" s="605">
        <v>1</v>
      </c>
      <c r="BW17" s="608">
        <v>0</v>
      </c>
      <c r="BX17" s="609">
        <v>1</v>
      </c>
      <c r="BY17" s="620">
        <v>0</v>
      </c>
      <c r="BZ17" s="621">
        <f t="shared" si="40"/>
        <v>1</v>
      </c>
      <c r="CA17" s="630">
        <v>0</v>
      </c>
      <c r="CB17" s="42">
        <f t="shared" si="26"/>
        <v>1</v>
      </c>
      <c r="CC17" s="500">
        <v>0</v>
      </c>
      <c r="CD17" s="430">
        <f t="shared" si="27"/>
        <v>1</v>
      </c>
      <c r="CE17" s="395">
        <v>0</v>
      </c>
      <c r="CF17" s="395">
        <v>1</v>
      </c>
      <c r="CG17" s="395">
        <v>0</v>
      </c>
      <c r="CH17" s="432">
        <v>1</v>
      </c>
      <c r="CI17" s="395">
        <v>0</v>
      </c>
      <c r="CJ17" s="395">
        <v>1</v>
      </c>
      <c r="CK17" s="432">
        <v>0</v>
      </c>
      <c r="CL17" s="502">
        <v>1</v>
      </c>
      <c r="CM17" s="431">
        <f t="shared" si="28"/>
        <v>0</v>
      </c>
      <c r="CN17" s="504">
        <f t="shared" si="29"/>
        <v>1</v>
      </c>
      <c r="CO17" s="434">
        <v>0</v>
      </c>
      <c r="CP17" s="488">
        <f t="shared" si="3"/>
        <v>1</v>
      </c>
      <c r="CQ17" s="432">
        <v>0</v>
      </c>
      <c r="CR17" s="432">
        <f t="shared" si="4"/>
        <v>1</v>
      </c>
      <c r="CS17" s="395">
        <v>0</v>
      </c>
      <c r="CT17" s="482">
        <f t="shared" si="5"/>
        <v>1</v>
      </c>
      <c r="CU17" s="395">
        <v>0</v>
      </c>
      <c r="CV17" s="486">
        <f t="shared" si="6"/>
        <v>1</v>
      </c>
      <c r="CW17" s="481">
        <v>0</v>
      </c>
      <c r="CX17" s="482">
        <f t="shared" si="7"/>
        <v>1</v>
      </c>
      <c r="CY17" s="620">
        <v>0</v>
      </c>
      <c r="CZ17" s="621">
        <f t="shared" si="41"/>
        <v>1</v>
      </c>
      <c r="DA17" s="643">
        <v>0</v>
      </c>
      <c r="DB17" s="482">
        <f t="shared" si="8"/>
        <v>1</v>
      </c>
      <c r="DC17" s="489"/>
      <c r="DD17" s="482">
        <f t="shared" si="9"/>
        <v>1</v>
      </c>
      <c r="DE17" s="502">
        <v>1</v>
      </c>
      <c r="DF17" s="430">
        <f t="shared" si="30"/>
        <v>0.5</v>
      </c>
      <c r="DG17" s="500">
        <f>1+1</f>
        <v>2</v>
      </c>
      <c r="DH17" s="430">
        <f t="shared" si="31"/>
        <v>0.6666666666666667</v>
      </c>
      <c r="DI17" s="434"/>
      <c r="DJ17" s="482">
        <f t="shared" si="10"/>
        <v>1</v>
      </c>
      <c r="DK17" s="395">
        <v>0</v>
      </c>
      <c r="DL17" s="432">
        <v>1</v>
      </c>
      <c r="DM17" s="575">
        <v>0</v>
      </c>
      <c r="DN17" s="574">
        <v>1</v>
      </c>
      <c r="DO17" s="395"/>
      <c r="DP17" s="516">
        <f t="shared" si="11"/>
        <v>1</v>
      </c>
      <c r="DQ17" s="633">
        <f>62+55+30+10</f>
        <v>157</v>
      </c>
      <c r="DR17" s="634">
        <f>1-DQ17/(311+276+303+202)*100/100</f>
        <v>0.8562271062271063</v>
      </c>
      <c r="DS17" s="395"/>
      <c r="DT17" s="490">
        <f t="shared" si="12"/>
        <v>1</v>
      </c>
      <c r="DU17" s="491"/>
      <c r="DV17" s="482">
        <v>1</v>
      </c>
      <c r="DW17" s="491"/>
      <c r="DX17" s="491"/>
      <c r="DY17" s="482">
        <v>1</v>
      </c>
      <c r="DZ17" s="491"/>
      <c r="EA17" s="491"/>
      <c r="EB17" s="482">
        <v>1</v>
      </c>
      <c r="EC17" s="491"/>
      <c r="ED17" s="491"/>
      <c r="EE17" s="482">
        <v>1</v>
      </c>
      <c r="EF17" s="491"/>
      <c r="EG17" s="491"/>
      <c r="EH17" s="482">
        <v>1</v>
      </c>
      <c r="EI17" s="491"/>
      <c r="EJ17" s="491"/>
      <c r="EK17" s="482">
        <v>0</v>
      </c>
      <c r="EL17" s="491"/>
      <c r="EM17" s="491"/>
      <c r="EN17" s="482"/>
      <c r="EO17" s="432"/>
      <c r="EP17" s="432"/>
      <c r="EQ17" s="482"/>
      <c r="ER17" s="432">
        <f t="shared" si="32"/>
        <v>23.11052104936164</v>
      </c>
      <c r="ES17" s="518">
        <v>1</v>
      </c>
      <c r="ET17" s="482" t="s">
        <v>119</v>
      </c>
      <c r="EV17" s="54">
        <v>21.97765124385201</v>
      </c>
      <c r="EW17" s="54">
        <v>11</v>
      </c>
      <c r="EX17" s="54">
        <v>1.552704073700215</v>
      </c>
      <c r="EY17" s="54" t="s">
        <v>117</v>
      </c>
      <c r="EZ17" s="441">
        <f t="shared" si="13"/>
        <v>157</v>
      </c>
      <c r="FB17" s="432"/>
    </row>
    <row r="18" spans="1:158" s="54" customFormat="1" ht="18.75">
      <c r="A18" s="479">
        <v>9</v>
      </c>
      <c r="B18" s="493" t="s">
        <v>126</v>
      </c>
      <c r="C18" s="626">
        <v>0</v>
      </c>
      <c r="D18" s="621">
        <v>1</v>
      </c>
      <c r="E18" s="481"/>
      <c r="F18" s="482">
        <v>1</v>
      </c>
      <c r="G18" s="508">
        <v>7123.39865</v>
      </c>
      <c r="H18" s="506">
        <v>6954.324020000001</v>
      </c>
      <c r="I18" s="433">
        <f t="shared" si="43"/>
        <v>0.023735107117723808</v>
      </c>
      <c r="J18" s="484">
        <f>1-(I18/20)</f>
        <v>0.9988132446441138</v>
      </c>
      <c r="K18" s="569">
        <v>4418.89034</v>
      </c>
      <c r="L18" s="556">
        <v>6915.59661</v>
      </c>
      <c r="M18" s="61">
        <f t="shared" si="0"/>
        <v>0.6389745656376565</v>
      </c>
      <c r="N18" s="485">
        <v>0.8</v>
      </c>
      <c r="O18" s="569">
        <v>4418.89034</v>
      </c>
      <c r="P18" s="611">
        <v>11634.02001</v>
      </c>
      <c r="Q18" s="58">
        <f t="shared" si="42"/>
        <v>0.37982488737356057</v>
      </c>
      <c r="R18" s="557">
        <f t="shared" si="33"/>
        <v>0.8440553052745791</v>
      </c>
      <c r="S18" s="569">
        <f>4418.89034-1138.32923</f>
        <v>3280.5611099999996</v>
      </c>
      <c r="T18" s="556"/>
      <c r="U18" s="569">
        <f>2640.14946-959.33612</f>
        <v>1680.8133400000002</v>
      </c>
      <c r="V18" s="496">
        <f t="shared" si="14"/>
        <v>1.9517700341431128</v>
      </c>
      <c r="W18" s="35">
        <f t="shared" si="15"/>
        <v>1</v>
      </c>
      <c r="X18" s="559">
        <v>5448.76945</v>
      </c>
      <c r="Y18" s="559">
        <v>2958.01669</v>
      </c>
      <c r="Z18" s="497">
        <f t="shared" si="34"/>
        <v>0.5428779318236707</v>
      </c>
      <c r="AA18" s="560">
        <f t="shared" si="16"/>
        <v>0.4571220681763293</v>
      </c>
      <c r="AB18" s="559">
        <v>2958.01669</v>
      </c>
      <c r="AC18" s="561">
        <f>913.53364+1138.32923+85.576+2095.04573</f>
        <v>4232.4846</v>
      </c>
      <c r="AD18" s="61">
        <f t="shared" si="35"/>
        <v>0.6988842180311773</v>
      </c>
      <c r="AE18" s="562">
        <f t="shared" si="17"/>
        <v>0.3011157819688227</v>
      </c>
      <c r="AF18" s="563">
        <v>2475.36627</v>
      </c>
      <c r="AG18" s="556">
        <v>6915.59661</v>
      </c>
      <c r="AH18" s="612">
        <v>236.88808</v>
      </c>
      <c r="AI18" s="58">
        <f t="shared" si="36"/>
        <v>0.37063546924992097</v>
      </c>
      <c r="AJ18" s="565">
        <v>0.8</v>
      </c>
      <c r="AK18" s="571">
        <v>-1225.88697</v>
      </c>
      <c r="AL18" s="571">
        <v>-264.7511</v>
      </c>
      <c r="AM18" s="567">
        <v>961.1</v>
      </c>
      <c r="AN18" s="485">
        <v>0</v>
      </c>
      <c r="AO18" s="576">
        <v>3437.1</v>
      </c>
      <c r="AP18" s="582">
        <v>4700.4</v>
      </c>
      <c r="AQ18" s="433">
        <f t="shared" si="37"/>
        <v>0.7312356395200409</v>
      </c>
      <c r="AR18" s="395">
        <v>1</v>
      </c>
      <c r="AS18" s="432"/>
      <c r="AT18" s="615"/>
      <c r="AU18" s="553">
        <v>79353.96</v>
      </c>
      <c r="AV18" s="584">
        <v>7999.48</v>
      </c>
      <c r="AW18" s="433">
        <f t="shared" si="18"/>
        <v>0.10080757154400359</v>
      </c>
      <c r="AX18" s="586">
        <v>1</v>
      </c>
      <c r="AY18" s="576">
        <v>3412.8</v>
      </c>
      <c r="AZ18" s="588">
        <f t="shared" si="19"/>
        <v>99.2930086410055</v>
      </c>
      <c r="BA18" s="588">
        <f t="shared" si="20"/>
        <v>42.66277308025022</v>
      </c>
      <c r="BB18" s="589">
        <v>0.5</v>
      </c>
      <c r="BC18" s="589">
        <v>1</v>
      </c>
      <c r="BD18" s="593">
        <v>4792</v>
      </c>
      <c r="BE18" s="591">
        <f t="shared" si="21"/>
        <v>79353.96</v>
      </c>
      <c r="BF18" s="592">
        <f t="shared" si="22"/>
        <v>213.04802067588523</v>
      </c>
      <c r="BG18" s="586">
        <v>1</v>
      </c>
      <c r="BH18" s="589">
        <f>BE18*100/BE49</f>
        <v>10.319473123750072</v>
      </c>
      <c r="BI18" s="432">
        <f t="shared" si="1"/>
        <v>54.075819731750606</v>
      </c>
      <c r="BJ18" s="432">
        <f t="shared" si="2"/>
        <v>2.342214553627821</v>
      </c>
      <c r="BK18" s="588">
        <v>1858.64</v>
      </c>
      <c r="BL18" s="432">
        <f t="shared" si="23"/>
        <v>4792</v>
      </c>
      <c r="BM18" s="433">
        <f t="shared" si="24"/>
        <v>0.30659721064505224</v>
      </c>
      <c r="BN18" s="586">
        <v>0</v>
      </c>
      <c r="BO18" s="600">
        <v>65892.85</v>
      </c>
      <c r="BP18" s="600">
        <v>1861.94</v>
      </c>
      <c r="BQ18" s="432">
        <f t="shared" si="38"/>
        <v>2.825708707393898</v>
      </c>
      <c r="BR18" s="433">
        <f t="shared" si="39"/>
        <v>0.028257087073938977</v>
      </c>
      <c r="BS18" s="592">
        <v>0</v>
      </c>
      <c r="BT18" s="601">
        <f t="shared" si="25"/>
        <v>79353.96</v>
      </c>
      <c r="BU18" s="604">
        <v>1</v>
      </c>
      <c r="BV18" s="605">
        <v>1</v>
      </c>
      <c r="BW18" s="608">
        <v>0</v>
      </c>
      <c r="BX18" s="609">
        <v>1</v>
      </c>
      <c r="BY18" s="620">
        <v>0</v>
      </c>
      <c r="BZ18" s="621">
        <f t="shared" si="40"/>
        <v>1</v>
      </c>
      <c r="CA18" s="630">
        <v>0</v>
      </c>
      <c r="CB18" s="42">
        <f t="shared" si="26"/>
        <v>1</v>
      </c>
      <c r="CC18" s="500">
        <v>0</v>
      </c>
      <c r="CD18" s="430">
        <f t="shared" si="27"/>
        <v>1</v>
      </c>
      <c r="CE18" s="395">
        <v>0</v>
      </c>
      <c r="CF18" s="395">
        <v>1</v>
      </c>
      <c r="CG18" s="395">
        <v>0</v>
      </c>
      <c r="CH18" s="432">
        <v>1</v>
      </c>
      <c r="CI18" s="395">
        <v>0</v>
      </c>
      <c r="CJ18" s="395">
        <v>1</v>
      </c>
      <c r="CK18" s="432">
        <v>0</v>
      </c>
      <c r="CL18" s="502">
        <v>1</v>
      </c>
      <c r="CM18" s="431">
        <f t="shared" si="28"/>
        <v>0</v>
      </c>
      <c r="CN18" s="504">
        <f t="shared" si="29"/>
        <v>1</v>
      </c>
      <c r="CO18" s="434">
        <v>0</v>
      </c>
      <c r="CP18" s="488">
        <f t="shared" si="3"/>
        <v>1</v>
      </c>
      <c r="CQ18" s="432">
        <v>0</v>
      </c>
      <c r="CR18" s="432">
        <f t="shared" si="4"/>
        <v>1</v>
      </c>
      <c r="CS18" s="395">
        <v>0</v>
      </c>
      <c r="CT18" s="482">
        <f t="shared" si="5"/>
        <v>1</v>
      </c>
      <c r="CU18" s="395">
        <v>0</v>
      </c>
      <c r="CV18" s="486">
        <f t="shared" si="6"/>
        <v>1</v>
      </c>
      <c r="CW18" s="481">
        <v>0</v>
      </c>
      <c r="CX18" s="482">
        <f t="shared" si="7"/>
        <v>1</v>
      </c>
      <c r="CY18" s="620">
        <v>0</v>
      </c>
      <c r="CZ18" s="621">
        <f t="shared" si="41"/>
        <v>1</v>
      </c>
      <c r="DA18" s="643">
        <v>0</v>
      </c>
      <c r="DB18" s="482">
        <f t="shared" si="8"/>
        <v>1</v>
      </c>
      <c r="DC18" s="489"/>
      <c r="DD18" s="482">
        <f t="shared" si="9"/>
        <v>1</v>
      </c>
      <c r="DE18" s="502">
        <v>0</v>
      </c>
      <c r="DF18" s="430">
        <f t="shared" si="30"/>
        <v>1</v>
      </c>
      <c r="DG18" s="500">
        <v>1</v>
      </c>
      <c r="DH18" s="430">
        <f t="shared" si="31"/>
        <v>0.8333333333333334</v>
      </c>
      <c r="DI18" s="434"/>
      <c r="DJ18" s="482">
        <f t="shared" si="10"/>
        <v>1</v>
      </c>
      <c r="DK18" s="395">
        <v>0</v>
      </c>
      <c r="DL18" s="432">
        <v>1</v>
      </c>
      <c r="DM18" s="575">
        <v>0</v>
      </c>
      <c r="DN18" s="574">
        <v>1</v>
      </c>
      <c r="DO18" s="395"/>
      <c r="DP18" s="516">
        <f t="shared" si="11"/>
        <v>1</v>
      </c>
      <c r="DQ18" s="633">
        <f>58+101+32+21</f>
        <v>212</v>
      </c>
      <c r="DR18" s="634">
        <f>1-DQ18/(578+508+559+372)*100/100</f>
        <v>0.894893406048587</v>
      </c>
      <c r="DS18" s="395"/>
      <c r="DT18" s="490">
        <f t="shared" si="12"/>
        <v>1</v>
      </c>
      <c r="DU18" s="491"/>
      <c r="DV18" s="482">
        <v>1</v>
      </c>
      <c r="DW18" s="491"/>
      <c r="DX18" s="491"/>
      <c r="DY18" s="482">
        <v>1</v>
      </c>
      <c r="DZ18" s="491"/>
      <c r="EA18" s="491"/>
      <c r="EB18" s="482">
        <v>1</v>
      </c>
      <c r="EC18" s="491"/>
      <c r="ED18" s="491"/>
      <c r="EE18" s="482">
        <v>1</v>
      </c>
      <c r="EF18" s="491"/>
      <c r="EG18" s="491"/>
      <c r="EH18" s="482">
        <v>1</v>
      </c>
      <c r="EI18" s="491"/>
      <c r="EJ18" s="491"/>
      <c r="EK18" s="482">
        <v>1</v>
      </c>
      <c r="EL18" s="491"/>
      <c r="EM18" s="491"/>
      <c r="EN18" s="482"/>
      <c r="EO18" s="432"/>
      <c r="EP18" s="432"/>
      <c r="EQ18" s="482"/>
      <c r="ER18" s="432">
        <f t="shared" si="32"/>
        <v>20.59718656146832</v>
      </c>
      <c r="ES18" s="518">
        <v>9</v>
      </c>
      <c r="ET18" s="432" t="s">
        <v>117</v>
      </c>
      <c r="EV18" s="54">
        <v>21.197252457964836</v>
      </c>
      <c r="EW18" s="54">
        <v>15</v>
      </c>
      <c r="EX18" s="54">
        <v>1.552704073700215</v>
      </c>
      <c r="EY18" s="54" t="s">
        <v>117</v>
      </c>
      <c r="EZ18" s="441">
        <f t="shared" si="13"/>
        <v>212</v>
      </c>
      <c r="FB18" s="432"/>
    </row>
    <row r="19" spans="1:158" s="54" customFormat="1" ht="18.75">
      <c r="A19" s="479">
        <v>10</v>
      </c>
      <c r="B19" s="493" t="s">
        <v>127</v>
      </c>
      <c r="C19" s="626">
        <v>0</v>
      </c>
      <c r="D19" s="621">
        <v>1</v>
      </c>
      <c r="E19" s="481"/>
      <c r="F19" s="482">
        <v>1</v>
      </c>
      <c r="G19" s="508">
        <v>7244.1</v>
      </c>
      <c r="H19" s="506">
        <v>10716.03887</v>
      </c>
      <c r="I19" s="433">
        <f t="shared" si="43"/>
        <v>-0.4792781532557529</v>
      </c>
      <c r="J19" s="484">
        <v>0</v>
      </c>
      <c r="K19" s="569">
        <v>8066.01441</v>
      </c>
      <c r="L19" s="556">
        <v>12022.34582</v>
      </c>
      <c r="M19" s="61">
        <f t="shared" si="0"/>
        <v>0.6709185154682232</v>
      </c>
      <c r="N19" s="485">
        <v>0.8</v>
      </c>
      <c r="O19" s="569">
        <v>8066.01441</v>
      </c>
      <c r="P19" s="611">
        <v>17765.32985</v>
      </c>
      <c r="Q19" s="58">
        <f t="shared" si="42"/>
        <v>0.4540312213792079</v>
      </c>
      <c r="R19" s="557">
        <v>1</v>
      </c>
      <c r="S19" s="569">
        <f>8066.01441-1755.30986</f>
        <v>6310.7045499999995</v>
      </c>
      <c r="T19" s="556"/>
      <c r="U19" s="569">
        <f>7014.43394-1477.68713</f>
        <v>5536.74681</v>
      </c>
      <c r="V19" s="496">
        <f t="shared" si="14"/>
        <v>1.1397856478830029</v>
      </c>
      <c r="W19" s="35">
        <f t="shared" si="15"/>
        <v>1</v>
      </c>
      <c r="X19" s="559">
        <v>1538.34082</v>
      </c>
      <c r="Y19" s="559">
        <v>1286.91049</v>
      </c>
      <c r="Z19" s="497">
        <f t="shared" si="34"/>
        <v>0.8365574606542652</v>
      </c>
      <c r="AA19" s="560">
        <f t="shared" si="16"/>
        <v>0.16344253934573483</v>
      </c>
      <c r="AB19" s="559">
        <v>1286.91049</v>
      </c>
      <c r="AC19" s="561">
        <f>1519.56877+1755.30986+3709.88072+10.44</f>
        <v>6995.19935</v>
      </c>
      <c r="AD19" s="61">
        <f t="shared" si="35"/>
        <v>0.18397052401372951</v>
      </c>
      <c r="AE19" s="562">
        <f t="shared" si="17"/>
        <v>0.8160294759862705</v>
      </c>
      <c r="AF19" s="563">
        <v>3934.33141</v>
      </c>
      <c r="AG19" s="556">
        <v>12022.34582</v>
      </c>
      <c r="AH19" s="612">
        <v>608.21188</v>
      </c>
      <c r="AI19" s="58">
        <f t="shared" si="36"/>
        <v>0.34468943773407307</v>
      </c>
      <c r="AJ19" s="565">
        <v>0.8</v>
      </c>
      <c r="AK19" s="571">
        <v>-454.74598</v>
      </c>
      <c r="AL19" s="571">
        <v>-2442.13328</v>
      </c>
      <c r="AM19" s="567">
        <v>-1987.4</v>
      </c>
      <c r="AN19" s="485">
        <v>1</v>
      </c>
      <c r="AO19" s="576">
        <v>6272.68</v>
      </c>
      <c r="AP19" s="582">
        <v>6965.3</v>
      </c>
      <c r="AQ19" s="433">
        <f t="shared" si="37"/>
        <v>0.900561354141243</v>
      </c>
      <c r="AR19" s="395">
        <v>1</v>
      </c>
      <c r="AS19" s="432"/>
      <c r="AT19" s="615"/>
      <c r="AU19" s="553">
        <v>26973.61</v>
      </c>
      <c r="AV19" s="584">
        <v>10902.13</v>
      </c>
      <c r="AW19" s="433">
        <f t="shared" si="18"/>
        <v>0.40417763881067453</v>
      </c>
      <c r="AX19" s="586">
        <v>1</v>
      </c>
      <c r="AY19" s="576">
        <v>6245.38</v>
      </c>
      <c r="AZ19" s="588">
        <f t="shared" si="19"/>
        <v>99.56477932877175</v>
      </c>
      <c r="BA19" s="588">
        <f t="shared" si="20"/>
        <v>57.285869825437786</v>
      </c>
      <c r="BB19" s="589">
        <v>0.5</v>
      </c>
      <c r="BC19" s="589">
        <v>1</v>
      </c>
      <c r="BD19" s="593">
        <v>12996</v>
      </c>
      <c r="BE19" s="591">
        <f t="shared" si="21"/>
        <v>26973.61</v>
      </c>
      <c r="BF19" s="592">
        <f t="shared" si="22"/>
        <v>26.702694072347626</v>
      </c>
      <c r="BG19" s="586">
        <v>0</v>
      </c>
      <c r="BH19" s="589">
        <f>BE19*100/BE64</f>
        <v>3.5077448364960757</v>
      </c>
      <c r="BI19" s="432">
        <f t="shared" si="1"/>
        <v>67.34394230217387</v>
      </c>
      <c r="BJ19" s="432">
        <f t="shared" si="2"/>
        <v>15.660751378847698</v>
      </c>
      <c r="BK19" s="588">
        <v>4224.27</v>
      </c>
      <c r="BL19" s="432">
        <f t="shared" si="23"/>
        <v>12996</v>
      </c>
      <c r="BM19" s="433">
        <f t="shared" si="24"/>
        <v>0.2569399857217235</v>
      </c>
      <c r="BN19" s="586">
        <v>0</v>
      </c>
      <c r="BO19" s="537">
        <v>7515.59</v>
      </c>
      <c r="BP19" s="537">
        <v>3380.55</v>
      </c>
      <c r="BQ19" s="432">
        <f t="shared" si="38"/>
        <v>44.9805005328923</v>
      </c>
      <c r="BR19" s="433">
        <f t="shared" si="39"/>
        <v>0.449805005328923</v>
      </c>
      <c r="BS19" s="592">
        <v>0</v>
      </c>
      <c r="BT19" s="601">
        <f t="shared" si="25"/>
        <v>26973.61</v>
      </c>
      <c r="BU19" s="604">
        <v>1</v>
      </c>
      <c r="BV19" s="605">
        <v>1</v>
      </c>
      <c r="BW19" s="608">
        <v>0</v>
      </c>
      <c r="BX19" s="609">
        <v>1</v>
      </c>
      <c r="BY19" s="620">
        <v>0</v>
      </c>
      <c r="BZ19" s="621">
        <f t="shared" si="40"/>
        <v>1</v>
      </c>
      <c r="CA19" s="630">
        <v>0</v>
      </c>
      <c r="CB19" s="42">
        <f t="shared" si="26"/>
        <v>1</v>
      </c>
      <c r="CC19" s="500">
        <v>0</v>
      </c>
      <c r="CD19" s="430">
        <f t="shared" si="27"/>
        <v>1</v>
      </c>
      <c r="CE19" s="395">
        <v>0</v>
      </c>
      <c r="CF19" s="395">
        <v>1</v>
      </c>
      <c r="CG19" s="395">
        <v>0</v>
      </c>
      <c r="CH19" s="432">
        <v>1</v>
      </c>
      <c r="CI19" s="395">
        <v>0</v>
      </c>
      <c r="CJ19" s="395">
        <v>1</v>
      </c>
      <c r="CK19" s="432">
        <v>0</v>
      </c>
      <c r="CL19" s="502">
        <v>1</v>
      </c>
      <c r="CM19" s="431">
        <f t="shared" si="28"/>
        <v>0</v>
      </c>
      <c r="CN19" s="504">
        <f t="shared" si="29"/>
        <v>1</v>
      </c>
      <c r="CO19" s="434">
        <v>0</v>
      </c>
      <c r="CP19" s="488">
        <f t="shared" si="3"/>
        <v>1</v>
      </c>
      <c r="CQ19" s="432">
        <v>0</v>
      </c>
      <c r="CR19" s="432">
        <f t="shared" si="4"/>
        <v>1</v>
      </c>
      <c r="CS19" s="395">
        <v>0</v>
      </c>
      <c r="CT19" s="482">
        <f t="shared" si="5"/>
        <v>1</v>
      </c>
      <c r="CU19" s="395">
        <v>0</v>
      </c>
      <c r="CV19" s="486">
        <f t="shared" si="6"/>
        <v>1</v>
      </c>
      <c r="CW19" s="481">
        <v>0</v>
      </c>
      <c r="CX19" s="482">
        <f t="shared" si="7"/>
        <v>1</v>
      </c>
      <c r="CY19" s="620">
        <v>0</v>
      </c>
      <c r="CZ19" s="621">
        <f t="shared" si="41"/>
        <v>1</v>
      </c>
      <c r="DA19" s="643">
        <v>0</v>
      </c>
      <c r="DB19" s="482">
        <f t="shared" si="8"/>
        <v>1</v>
      </c>
      <c r="DC19" s="489"/>
      <c r="DD19" s="482">
        <f t="shared" si="9"/>
        <v>1</v>
      </c>
      <c r="DE19" s="502">
        <v>0</v>
      </c>
      <c r="DF19" s="430">
        <f t="shared" si="30"/>
        <v>1</v>
      </c>
      <c r="DG19" s="500">
        <v>1</v>
      </c>
      <c r="DH19" s="430">
        <f t="shared" si="31"/>
        <v>0.8333333333333334</v>
      </c>
      <c r="DI19" s="434"/>
      <c r="DJ19" s="482">
        <f t="shared" si="10"/>
        <v>1</v>
      </c>
      <c r="DK19" s="395">
        <v>0</v>
      </c>
      <c r="DL19" s="432">
        <v>1</v>
      </c>
      <c r="DM19" s="575">
        <v>0</v>
      </c>
      <c r="DN19" s="574">
        <v>1</v>
      </c>
      <c r="DO19" s="395"/>
      <c r="DP19" s="516">
        <f t="shared" si="11"/>
        <v>1</v>
      </c>
      <c r="DQ19" s="633">
        <f>141+195+28+18</f>
        <v>382</v>
      </c>
      <c r="DR19" s="634">
        <f>1-DQ19/(708+652+717+478)*100/100</f>
        <v>0.8504892367906066</v>
      </c>
      <c r="DS19" s="395"/>
      <c r="DT19" s="490">
        <f t="shared" si="12"/>
        <v>1</v>
      </c>
      <c r="DU19" s="491"/>
      <c r="DV19" s="482">
        <v>1</v>
      </c>
      <c r="DW19" s="491"/>
      <c r="DX19" s="491"/>
      <c r="DY19" s="482">
        <v>0</v>
      </c>
      <c r="DZ19" s="491"/>
      <c r="EA19" s="491"/>
      <c r="EB19" s="482">
        <v>1</v>
      </c>
      <c r="EC19" s="491"/>
      <c r="ED19" s="491"/>
      <c r="EE19" s="482">
        <v>1</v>
      </c>
      <c r="EF19" s="491"/>
      <c r="EG19" s="491"/>
      <c r="EH19" s="482">
        <v>1</v>
      </c>
      <c r="EI19" s="491"/>
      <c r="EJ19" s="491"/>
      <c r="EK19" s="482">
        <v>1</v>
      </c>
      <c r="EL19" s="491"/>
      <c r="EM19" s="491"/>
      <c r="EN19" s="482"/>
      <c r="EO19" s="432"/>
      <c r="EP19" s="432"/>
      <c r="EQ19" s="482"/>
      <c r="ER19" s="432">
        <f t="shared" si="32"/>
        <v>19.929961252122613</v>
      </c>
      <c r="ES19" s="518">
        <v>12</v>
      </c>
      <c r="ET19" s="432" t="s">
        <v>117</v>
      </c>
      <c r="EV19" s="54">
        <v>21.324641060239564</v>
      </c>
      <c r="EW19" s="54">
        <v>14</v>
      </c>
      <c r="EX19" s="54">
        <v>1.552704073700215</v>
      </c>
      <c r="EY19" s="54" t="s">
        <v>117</v>
      </c>
      <c r="EZ19" s="441">
        <f t="shared" si="13"/>
        <v>382</v>
      </c>
      <c r="FB19" s="432"/>
    </row>
    <row r="20" spans="1:158" s="54" customFormat="1" ht="19.5" customHeight="1">
      <c r="A20" s="479">
        <v>11</v>
      </c>
      <c r="B20" s="493" t="s">
        <v>128</v>
      </c>
      <c r="C20" s="626">
        <v>0</v>
      </c>
      <c r="D20" s="621">
        <v>1</v>
      </c>
      <c r="E20" s="481"/>
      <c r="F20" s="482">
        <v>1</v>
      </c>
      <c r="G20" s="508">
        <v>6234.1</v>
      </c>
      <c r="H20" s="506">
        <v>9827.44142</v>
      </c>
      <c r="I20" s="433">
        <f t="shared" si="43"/>
        <v>-0.5764009913219228</v>
      </c>
      <c r="J20" s="484">
        <v>0</v>
      </c>
      <c r="K20" s="569">
        <v>3124.29878</v>
      </c>
      <c r="L20" s="556">
        <v>3931.36434</v>
      </c>
      <c r="M20" s="61">
        <f t="shared" si="0"/>
        <v>0.7947110747817385</v>
      </c>
      <c r="N20" s="485">
        <v>1</v>
      </c>
      <c r="O20" s="569">
        <v>3124.29878</v>
      </c>
      <c r="P20" s="611">
        <v>12685.82712</v>
      </c>
      <c r="Q20" s="58">
        <f t="shared" si="42"/>
        <v>0.2462826231546501</v>
      </c>
      <c r="R20" s="557">
        <f t="shared" si="33"/>
        <v>0.5472947181214447</v>
      </c>
      <c r="S20" s="569">
        <f>3124.29878-1434.47995</f>
        <v>1689.8188300000002</v>
      </c>
      <c r="T20" s="556"/>
      <c r="U20" s="569">
        <f>3482.71238-1209.48562</f>
        <v>2273.22676</v>
      </c>
      <c r="V20" s="496">
        <f t="shared" si="14"/>
        <v>0.7433569143801563</v>
      </c>
      <c r="W20" s="35">
        <f t="shared" si="15"/>
        <v>0</v>
      </c>
      <c r="X20" s="559">
        <v>3809.36794</v>
      </c>
      <c r="Y20" s="559">
        <v>3287.54415</v>
      </c>
      <c r="Z20" s="497">
        <f>Y20/X20*100%</f>
        <v>0.8630156503075941</v>
      </c>
      <c r="AA20" s="560">
        <f t="shared" si="16"/>
        <v>0.13698434969240592</v>
      </c>
      <c r="AB20" s="559">
        <v>3287.54415</v>
      </c>
      <c r="AC20" s="561">
        <f>449.39319+1434.47995+0.25+1082.31582+3.7</f>
        <v>2970.1389599999998</v>
      </c>
      <c r="AD20" s="61">
        <f t="shared" si="35"/>
        <v>1.1068654343364461</v>
      </c>
      <c r="AE20" s="562">
        <v>0</v>
      </c>
      <c r="AF20" s="563">
        <v>809.45296</v>
      </c>
      <c r="AG20" s="556">
        <v>3931.36434</v>
      </c>
      <c r="AH20" s="612">
        <v>145.06445</v>
      </c>
      <c r="AI20" s="58">
        <f t="shared" si="36"/>
        <v>0.21378469310839504</v>
      </c>
      <c r="AJ20" s="565">
        <v>1</v>
      </c>
      <c r="AK20" s="567">
        <v>0</v>
      </c>
      <c r="AL20" s="567">
        <v>0</v>
      </c>
      <c r="AM20" s="567">
        <v>0</v>
      </c>
      <c r="AN20" s="485">
        <v>1</v>
      </c>
      <c r="AO20" s="576">
        <v>3676.06</v>
      </c>
      <c r="AP20" s="582">
        <v>4368.3</v>
      </c>
      <c r="AQ20" s="433">
        <f t="shared" si="37"/>
        <v>0.8415310303779502</v>
      </c>
      <c r="AR20" s="395">
        <v>1</v>
      </c>
      <c r="AS20" s="432"/>
      <c r="AT20" s="615"/>
      <c r="AU20" s="553">
        <v>14123.16</v>
      </c>
      <c r="AV20" s="584">
        <v>7169.68</v>
      </c>
      <c r="AW20" s="433">
        <f t="shared" si="18"/>
        <v>0.5076540944094665</v>
      </c>
      <c r="AX20" s="586">
        <v>0.8</v>
      </c>
      <c r="AY20" s="576">
        <v>3424.96</v>
      </c>
      <c r="AZ20" s="588">
        <f t="shared" si="19"/>
        <v>93.16931714933924</v>
      </c>
      <c r="BA20" s="588">
        <f t="shared" si="20"/>
        <v>47.77005389361868</v>
      </c>
      <c r="BB20" s="589">
        <v>0.5</v>
      </c>
      <c r="BC20" s="589">
        <v>1</v>
      </c>
      <c r="BD20" s="593">
        <v>3910</v>
      </c>
      <c r="BE20" s="591">
        <f t="shared" si="21"/>
        <v>14123.16</v>
      </c>
      <c r="BF20" s="592">
        <f t="shared" si="22"/>
        <v>46.470872949583956</v>
      </c>
      <c r="BG20" s="586">
        <v>0</v>
      </c>
      <c r="BH20" s="589">
        <f>BE20*100/BE51</f>
        <v>1.8366263012258246</v>
      </c>
      <c r="BI20" s="432">
        <f t="shared" si="1"/>
        <v>11.70138681087904</v>
      </c>
      <c r="BJ20" s="432">
        <f t="shared" si="2"/>
        <v>3.04570648495096</v>
      </c>
      <c r="BK20" s="588">
        <v>430.15</v>
      </c>
      <c r="BL20" s="432">
        <f t="shared" si="23"/>
        <v>3910</v>
      </c>
      <c r="BM20" s="433">
        <f t="shared" si="24"/>
        <v>0.08696267678297191</v>
      </c>
      <c r="BN20" s="586">
        <v>0</v>
      </c>
      <c r="BO20" s="538">
        <v>1090.9</v>
      </c>
      <c r="BP20" s="538">
        <v>595.1</v>
      </c>
      <c r="BQ20" s="432">
        <f t="shared" si="38"/>
        <v>54.55128792739939</v>
      </c>
      <c r="BR20" s="433">
        <f t="shared" si="39"/>
        <v>0.545512879273994</v>
      </c>
      <c r="BS20" s="592">
        <v>0</v>
      </c>
      <c r="BT20" s="601">
        <f t="shared" si="25"/>
        <v>14123.16</v>
      </c>
      <c r="BU20" s="604">
        <v>1</v>
      </c>
      <c r="BV20" s="605">
        <v>1</v>
      </c>
      <c r="BW20" s="608">
        <v>17.141689190980898</v>
      </c>
      <c r="BX20" s="609">
        <v>0.828583108090191</v>
      </c>
      <c r="BY20" s="620">
        <v>0</v>
      </c>
      <c r="BZ20" s="621">
        <f t="shared" si="40"/>
        <v>1</v>
      </c>
      <c r="CA20" s="630">
        <v>0</v>
      </c>
      <c r="CB20" s="42">
        <f t="shared" si="26"/>
        <v>1</v>
      </c>
      <c r="CC20" s="500">
        <v>0</v>
      </c>
      <c r="CD20" s="430">
        <f t="shared" si="27"/>
        <v>1</v>
      </c>
      <c r="CE20" s="395">
        <v>0</v>
      </c>
      <c r="CF20" s="395">
        <v>1</v>
      </c>
      <c r="CG20" s="395">
        <v>0</v>
      </c>
      <c r="CH20" s="432">
        <v>1</v>
      </c>
      <c r="CI20" s="395">
        <v>0</v>
      </c>
      <c r="CJ20" s="395">
        <v>1</v>
      </c>
      <c r="CK20" s="432">
        <v>0</v>
      </c>
      <c r="CL20" s="502">
        <v>1</v>
      </c>
      <c r="CM20" s="431">
        <f t="shared" si="28"/>
        <v>0</v>
      </c>
      <c r="CN20" s="504">
        <f t="shared" si="29"/>
        <v>1</v>
      </c>
      <c r="CO20" s="434">
        <v>0</v>
      </c>
      <c r="CP20" s="488">
        <f t="shared" si="3"/>
        <v>1</v>
      </c>
      <c r="CQ20" s="432">
        <v>0</v>
      </c>
      <c r="CR20" s="432">
        <f t="shared" si="4"/>
        <v>1</v>
      </c>
      <c r="CS20" s="395">
        <v>0</v>
      </c>
      <c r="CT20" s="482">
        <f t="shared" si="5"/>
        <v>1</v>
      </c>
      <c r="CU20" s="395">
        <v>0</v>
      </c>
      <c r="CV20" s="486">
        <f t="shared" si="6"/>
        <v>1</v>
      </c>
      <c r="CW20" s="481">
        <v>0</v>
      </c>
      <c r="CX20" s="482">
        <f t="shared" si="7"/>
        <v>1</v>
      </c>
      <c r="CY20" s="620">
        <v>0</v>
      </c>
      <c r="CZ20" s="621">
        <f t="shared" si="41"/>
        <v>1</v>
      </c>
      <c r="DA20" s="643">
        <v>0</v>
      </c>
      <c r="DB20" s="482">
        <f t="shared" si="8"/>
        <v>1</v>
      </c>
      <c r="DC20" s="489"/>
      <c r="DD20" s="482">
        <f t="shared" si="9"/>
        <v>1</v>
      </c>
      <c r="DE20" s="502">
        <v>0</v>
      </c>
      <c r="DF20" s="430">
        <f t="shared" si="30"/>
        <v>1</v>
      </c>
      <c r="DG20" s="500">
        <f>2+1+1+1</f>
        <v>5</v>
      </c>
      <c r="DH20" s="430">
        <f t="shared" si="31"/>
        <v>0.16666666666666663</v>
      </c>
      <c r="DI20" s="434"/>
      <c r="DJ20" s="482">
        <f t="shared" si="10"/>
        <v>1</v>
      </c>
      <c r="DK20" s="395">
        <v>0</v>
      </c>
      <c r="DL20" s="432">
        <v>1</v>
      </c>
      <c r="DM20" s="575">
        <v>0</v>
      </c>
      <c r="DN20" s="574">
        <v>1</v>
      </c>
      <c r="DO20" s="395"/>
      <c r="DP20" s="516">
        <f t="shared" si="11"/>
        <v>1</v>
      </c>
      <c r="DQ20" s="633">
        <f>32+33+31+20</f>
        <v>116</v>
      </c>
      <c r="DR20" s="634">
        <f>1-DQ20/(318+326+358+238)*100/100</f>
        <v>0.9064516129032258</v>
      </c>
      <c r="DS20" s="395"/>
      <c r="DT20" s="490">
        <f t="shared" si="12"/>
        <v>1</v>
      </c>
      <c r="DU20" s="491"/>
      <c r="DV20" s="482">
        <v>1</v>
      </c>
      <c r="DW20" s="491"/>
      <c r="DX20" s="491"/>
      <c r="DY20" s="482">
        <v>1</v>
      </c>
      <c r="DZ20" s="491"/>
      <c r="EA20" s="491"/>
      <c r="EB20" s="482">
        <v>1</v>
      </c>
      <c r="EC20" s="491"/>
      <c r="ED20" s="491"/>
      <c r="EE20" s="482">
        <v>1</v>
      </c>
      <c r="EF20" s="491"/>
      <c r="EG20" s="491"/>
      <c r="EH20" s="482">
        <v>1</v>
      </c>
      <c r="EI20" s="491"/>
      <c r="EJ20" s="491"/>
      <c r="EK20" s="482">
        <v>1</v>
      </c>
      <c r="EL20" s="491"/>
      <c r="EM20" s="491"/>
      <c r="EN20" s="482"/>
      <c r="EO20" s="432"/>
      <c r="EP20" s="432"/>
      <c r="EQ20" s="482"/>
      <c r="ER20" s="432">
        <f t="shared" si="32"/>
        <v>18.71931378880727</v>
      </c>
      <c r="ES20" s="518">
        <v>19</v>
      </c>
      <c r="ET20" s="432" t="s">
        <v>117</v>
      </c>
      <c r="EU20" s="420"/>
      <c r="EV20" s="54">
        <v>24.399098082404016</v>
      </c>
      <c r="EW20" s="54">
        <v>1</v>
      </c>
      <c r="EX20" s="54">
        <v>1.552704073700215</v>
      </c>
      <c r="EY20" s="54" t="s">
        <v>119</v>
      </c>
      <c r="EZ20" s="441">
        <f t="shared" si="13"/>
        <v>116</v>
      </c>
      <c r="FB20" s="432"/>
    </row>
    <row r="21" spans="1:158" s="54" customFormat="1" ht="18.75">
      <c r="A21" s="479">
        <v>12</v>
      </c>
      <c r="B21" s="493" t="s">
        <v>129</v>
      </c>
      <c r="C21" s="626">
        <f>0/45398.41</f>
        <v>0</v>
      </c>
      <c r="D21" s="621">
        <v>1</v>
      </c>
      <c r="E21" s="481"/>
      <c r="F21" s="482">
        <v>1</v>
      </c>
      <c r="G21" s="508">
        <v>2579.15894</v>
      </c>
      <c r="H21" s="506">
        <v>2957.63055</v>
      </c>
      <c r="I21" s="433">
        <f t="shared" si="43"/>
        <v>-0.14674225931962148</v>
      </c>
      <c r="J21" s="484">
        <v>0</v>
      </c>
      <c r="K21" s="569">
        <v>2168.82324</v>
      </c>
      <c r="L21" s="556">
        <v>4071.34902</v>
      </c>
      <c r="M21" s="61">
        <f t="shared" si="0"/>
        <v>0.5327038358406325</v>
      </c>
      <c r="N21" s="485">
        <v>0.8</v>
      </c>
      <c r="O21" s="569">
        <v>2168.82324</v>
      </c>
      <c r="P21" s="611">
        <v>5117.46658</v>
      </c>
      <c r="Q21" s="58">
        <f t="shared" si="42"/>
        <v>0.4238079928994866</v>
      </c>
      <c r="R21" s="557">
        <f t="shared" si="33"/>
        <v>0.9417955397766369</v>
      </c>
      <c r="S21" s="569">
        <f>2168.82324-687.9334</f>
        <v>1480.8898400000003</v>
      </c>
      <c r="T21" s="556"/>
      <c r="U21" s="569">
        <f>1680.00085-577.6648</f>
        <v>1102.33605</v>
      </c>
      <c r="V21" s="496">
        <f t="shared" si="14"/>
        <v>1.3434105144252522</v>
      </c>
      <c r="W21" s="35">
        <f t="shared" si="15"/>
        <v>1</v>
      </c>
      <c r="X21" s="559">
        <v>936.36923</v>
      </c>
      <c r="Y21" s="559">
        <v>869.33602</v>
      </c>
      <c r="Z21" s="497">
        <f t="shared" si="34"/>
        <v>0.9284115626054905</v>
      </c>
      <c r="AA21" s="560">
        <f t="shared" si="16"/>
        <v>0.07158843739450949</v>
      </c>
      <c r="AB21" s="559">
        <v>869.33602</v>
      </c>
      <c r="AC21" s="561">
        <f>487.51134+687.9334+349.8167+5</f>
        <v>1530.26144</v>
      </c>
      <c r="AD21" s="61">
        <f t="shared" si="35"/>
        <v>0.5680964031871574</v>
      </c>
      <c r="AE21" s="562">
        <f t="shared" si="17"/>
        <v>0.4319035968128426</v>
      </c>
      <c r="AF21" s="563">
        <v>1902.52578</v>
      </c>
      <c r="AG21" s="556">
        <v>4071.34902</v>
      </c>
      <c r="AH21" s="612">
        <v>183.384</v>
      </c>
      <c r="AI21" s="58">
        <f t="shared" si="36"/>
        <v>0.4893371648698629</v>
      </c>
      <c r="AJ21" s="565">
        <v>0.8</v>
      </c>
      <c r="AK21" s="571">
        <v>-911.27195</v>
      </c>
      <c r="AL21" s="571">
        <v>-412.97478</v>
      </c>
      <c r="AM21" s="567">
        <v>498.3</v>
      </c>
      <c r="AN21" s="485">
        <v>0</v>
      </c>
      <c r="AO21" s="576">
        <v>3099.54</v>
      </c>
      <c r="AP21" s="582">
        <v>4556</v>
      </c>
      <c r="AQ21" s="433">
        <f t="shared" si="37"/>
        <v>0.6803204565408253</v>
      </c>
      <c r="AR21" s="395">
        <v>1</v>
      </c>
      <c r="AS21" s="432"/>
      <c r="AT21" s="615"/>
      <c r="AU21" s="553">
        <v>14928.7</v>
      </c>
      <c r="AV21" s="584">
        <v>6428.46</v>
      </c>
      <c r="AW21" s="433">
        <f t="shared" si="18"/>
        <v>0.4306108368444673</v>
      </c>
      <c r="AX21" s="586">
        <v>1</v>
      </c>
      <c r="AY21" s="576">
        <v>2758.98</v>
      </c>
      <c r="AZ21" s="588">
        <f t="shared" si="19"/>
        <v>89.01256315453261</v>
      </c>
      <c r="BA21" s="588">
        <f t="shared" si="20"/>
        <v>42.91821058231676</v>
      </c>
      <c r="BB21" s="589">
        <v>0.5</v>
      </c>
      <c r="BC21" s="589">
        <v>1</v>
      </c>
      <c r="BD21" s="593">
        <v>4266</v>
      </c>
      <c r="BE21" s="591">
        <f t="shared" si="21"/>
        <v>14928.7</v>
      </c>
      <c r="BF21" s="592">
        <f t="shared" si="22"/>
        <v>45.022214062001545</v>
      </c>
      <c r="BG21" s="586">
        <v>0</v>
      </c>
      <c r="BH21" s="589">
        <f>BE21*100/BE31</f>
        <v>20.192812842719324</v>
      </c>
      <c r="BI21" s="432">
        <f t="shared" si="1"/>
        <v>25.745110564793485</v>
      </c>
      <c r="BJ21" s="432">
        <f t="shared" si="2"/>
        <v>5.345274538305412</v>
      </c>
      <c r="BK21" s="588">
        <v>797.98</v>
      </c>
      <c r="BL21" s="432">
        <f t="shared" si="23"/>
        <v>4266</v>
      </c>
      <c r="BM21" s="433">
        <f t="shared" si="24"/>
        <v>0.14786346696478275</v>
      </c>
      <c r="BN21" s="586">
        <v>0</v>
      </c>
      <c r="BO21" s="539">
        <v>8532.99</v>
      </c>
      <c r="BP21" s="539">
        <v>2143.89</v>
      </c>
      <c r="BQ21" s="432">
        <f t="shared" si="38"/>
        <v>25.124721814979274</v>
      </c>
      <c r="BR21" s="433">
        <f t="shared" si="39"/>
        <v>0.25124721814979273</v>
      </c>
      <c r="BS21" s="592">
        <v>0</v>
      </c>
      <c r="BT21" s="601">
        <f t="shared" si="25"/>
        <v>14928.7</v>
      </c>
      <c r="BU21" s="604">
        <v>1</v>
      </c>
      <c r="BV21" s="605">
        <v>1</v>
      </c>
      <c r="BW21" s="608">
        <v>4.11409847456854</v>
      </c>
      <c r="BX21" s="609">
        <v>0.9588590152543146</v>
      </c>
      <c r="BY21" s="620">
        <v>0</v>
      </c>
      <c r="BZ21" s="621">
        <f t="shared" si="40"/>
        <v>1</v>
      </c>
      <c r="CA21" s="630">
        <v>0</v>
      </c>
      <c r="CB21" s="42">
        <f t="shared" si="26"/>
        <v>1</v>
      </c>
      <c r="CC21" s="500">
        <v>0</v>
      </c>
      <c r="CD21" s="430">
        <f t="shared" si="27"/>
        <v>1</v>
      </c>
      <c r="CE21" s="395">
        <v>0</v>
      </c>
      <c r="CF21" s="395">
        <v>1</v>
      </c>
      <c r="CG21" s="395">
        <v>0</v>
      </c>
      <c r="CH21" s="432">
        <v>1</v>
      </c>
      <c r="CI21" s="395">
        <v>0</v>
      </c>
      <c r="CJ21" s="395">
        <v>1</v>
      </c>
      <c r="CK21" s="432">
        <v>0</v>
      </c>
      <c r="CL21" s="502">
        <v>1</v>
      </c>
      <c r="CM21" s="431">
        <f t="shared" si="28"/>
        <v>0</v>
      </c>
      <c r="CN21" s="504">
        <f t="shared" si="29"/>
        <v>1</v>
      </c>
      <c r="CO21" s="434">
        <v>0</v>
      </c>
      <c r="CP21" s="488">
        <f t="shared" si="3"/>
        <v>1</v>
      </c>
      <c r="CQ21" s="432">
        <v>0</v>
      </c>
      <c r="CR21" s="432">
        <f t="shared" si="4"/>
        <v>1</v>
      </c>
      <c r="CS21" s="395">
        <v>0</v>
      </c>
      <c r="CT21" s="482">
        <f t="shared" si="5"/>
        <v>1</v>
      </c>
      <c r="CU21" s="395">
        <v>0</v>
      </c>
      <c r="CV21" s="486">
        <f t="shared" si="6"/>
        <v>1</v>
      </c>
      <c r="CW21" s="481">
        <v>0</v>
      </c>
      <c r="CX21" s="482">
        <f t="shared" si="7"/>
        <v>1</v>
      </c>
      <c r="CY21" s="620">
        <v>0</v>
      </c>
      <c r="CZ21" s="621">
        <f t="shared" si="41"/>
        <v>1</v>
      </c>
      <c r="DA21" s="643">
        <v>0</v>
      </c>
      <c r="DB21" s="482">
        <f t="shared" si="8"/>
        <v>1</v>
      </c>
      <c r="DC21" s="489"/>
      <c r="DD21" s="482">
        <f t="shared" si="9"/>
        <v>1</v>
      </c>
      <c r="DE21" s="502">
        <v>0</v>
      </c>
      <c r="DF21" s="430">
        <f t="shared" si="30"/>
        <v>1</v>
      </c>
      <c r="DG21" s="500">
        <v>0</v>
      </c>
      <c r="DH21" s="430">
        <f t="shared" si="31"/>
        <v>1</v>
      </c>
      <c r="DI21" s="434"/>
      <c r="DJ21" s="482">
        <f t="shared" si="10"/>
        <v>1</v>
      </c>
      <c r="DK21" s="395">
        <v>0</v>
      </c>
      <c r="DL21" s="432">
        <v>1</v>
      </c>
      <c r="DM21" s="575">
        <v>0</v>
      </c>
      <c r="DN21" s="574">
        <v>1</v>
      </c>
      <c r="DO21" s="395"/>
      <c r="DP21" s="516">
        <f t="shared" si="11"/>
        <v>1</v>
      </c>
      <c r="DQ21" s="633">
        <f>12+15+12+8</f>
        <v>47</v>
      </c>
      <c r="DR21" s="634">
        <f>1-DQ21/(128+155+170+114)*100/100</f>
        <v>0.9171075837742504</v>
      </c>
      <c r="DS21" s="395"/>
      <c r="DT21" s="490">
        <f t="shared" si="12"/>
        <v>1</v>
      </c>
      <c r="DU21" s="491"/>
      <c r="DV21" s="482">
        <v>1</v>
      </c>
      <c r="DW21" s="491"/>
      <c r="DX21" s="491"/>
      <c r="DY21" s="482">
        <v>1</v>
      </c>
      <c r="DZ21" s="491"/>
      <c r="EA21" s="491"/>
      <c r="EB21" s="482">
        <v>1</v>
      </c>
      <c r="EC21" s="491"/>
      <c r="ED21" s="491"/>
      <c r="EE21" s="482">
        <v>1</v>
      </c>
      <c r="EF21" s="491"/>
      <c r="EG21" s="491"/>
      <c r="EH21" s="482">
        <v>1</v>
      </c>
      <c r="EI21" s="491"/>
      <c r="EJ21" s="491"/>
      <c r="EK21" s="482">
        <v>1</v>
      </c>
      <c r="EL21" s="491"/>
      <c r="EM21" s="491"/>
      <c r="EN21" s="482"/>
      <c r="EO21" s="432"/>
      <c r="EP21" s="432"/>
      <c r="EQ21" s="482"/>
      <c r="ER21" s="432">
        <f t="shared" si="32"/>
        <v>19.421254173012553</v>
      </c>
      <c r="ES21" s="518">
        <v>16</v>
      </c>
      <c r="ET21" s="432" t="s">
        <v>117</v>
      </c>
      <c r="EU21" s="80"/>
      <c r="EV21" s="54">
        <v>23.126098926315844</v>
      </c>
      <c r="EW21" s="54">
        <v>5</v>
      </c>
      <c r="EX21" s="54">
        <v>1.552704073700215</v>
      </c>
      <c r="EY21" s="54" t="s">
        <v>117</v>
      </c>
      <c r="EZ21" s="441">
        <f t="shared" si="13"/>
        <v>47</v>
      </c>
      <c r="FB21" s="432"/>
    </row>
    <row r="22" spans="1:158" s="54" customFormat="1" ht="18.75">
      <c r="A22" s="479">
        <v>13</v>
      </c>
      <c r="B22" s="493" t="s">
        <v>130</v>
      </c>
      <c r="C22" s="626">
        <v>0</v>
      </c>
      <c r="D22" s="621">
        <v>1</v>
      </c>
      <c r="E22" s="481"/>
      <c r="F22" s="482">
        <v>1</v>
      </c>
      <c r="G22" s="508">
        <v>6700.4</v>
      </c>
      <c r="H22" s="506">
        <v>5808.563490000001</v>
      </c>
      <c r="I22" s="433">
        <f t="shared" si="43"/>
        <v>0.13310198047877714</v>
      </c>
      <c r="J22" s="484">
        <f>1-(I22/20)</f>
        <v>0.9933449009760611</v>
      </c>
      <c r="K22" s="569">
        <v>3036.94653</v>
      </c>
      <c r="L22" s="556">
        <v>7230.86482</v>
      </c>
      <c r="M22" s="61">
        <f t="shared" si="0"/>
        <v>0.4199976912305215</v>
      </c>
      <c r="N22" s="485">
        <v>0.5</v>
      </c>
      <c r="O22" s="569">
        <v>3036.94653</v>
      </c>
      <c r="P22" s="611">
        <v>9035.77367</v>
      </c>
      <c r="Q22" s="58">
        <f t="shared" si="42"/>
        <v>0.33610254538391954</v>
      </c>
      <c r="R22" s="557">
        <f t="shared" si="33"/>
        <v>0.7468945452975989</v>
      </c>
      <c r="S22" s="569">
        <f>3036.94653-1304.91401</f>
        <v>1732.0325200000002</v>
      </c>
      <c r="T22" s="556"/>
      <c r="U22" s="569">
        <f>2532.92084-1098.59458</f>
        <v>1434.3262600000003</v>
      </c>
      <c r="V22" s="496">
        <f t="shared" si="14"/>
        <v>1.2075582580493227</v>
      </c>
      <c r="W22" s="35">
        <f t="shared" si="15"/>
        <v>1</v>
      </c>
      <c r="X22" s="559">
        <v>3453.18582</v>
      </c>
      <c r="Y22" s="559">
        <v>3619.7499</v>
      </c>
      <c r="Z22" s="497">
        <f t="shared" si="34"/>
        <v>1.0482349021113493</v>
      </c>
      <c r="AA22" s="560">
        <v>0</v>
      </c>
      <c r="AB22" s="559">
        <v>3619.7499</v>
      </c>
      <c r="AC22" s="561">
        <f>327.05696+1304.91401+0.03809+771.94335+7.7</f>
        <v>2411.6524099999997</v>
      </c>
      <c r="AD22" s="61">
        <f t="shared" si="35"/>
        <v>1.5009417961687108</v>
      </c>
      <c r="AE22" s="562">
        <v>0</v>
      </c>
      <c r="AF22" s="563">
        <v>4154.91829</v>
      </c>
      <c r="AG22" s="556">
        <v>7230.86482</v>
      </c>
      <c r="AH22" s="612">
        <v>114.96964</v>
      </c>
      <c r="AI22" s="58">
        <f t="shared" si="36"/>
        <v>0.583892565151585</v>
      </c>
      <c r="AJ22" s="565">
        <v>0.5</v>
      </c>
      <c r="AK22" s="571">
        <v>-697.47801</v>
      </c>
      <c r="AL22" s="571">
        <v>-836.6323</v>
      </c>
      <c r="AM22" s="567">
        <v>-139.1</v>
      </c>
      <c r="AN22" s="485">
        <v>1</v>
      </c>
      <c r="AO22" s="576">
        <v>3665.72</v>
      </c>
      <c r="AP22" s="582">
        <v>3814.8</v>
      </c>
      <c r="AQ22" s="433">
        <f t="shared" si="37"/>
        <v>0.9609206249344656</v>
      </c>
      <c r="AR22" s="395">
        <v>1</v>
      </c>
      <c r="AS22" s="432"/>
      <c r="AT22" s="615"/>
      <c r="AU22" s="553">
        <v>18798.61</v>
      </c>
      <c r="AV22" s="584">
        <v>7222.23</v>
      </c>
      <c r="AW22" s="433">
        <f t="shared" si="18"/>
        <v>0.3841895757186302</v>
      </c>
      <c r="AX22" s="586">
        <v>1</v>
      </c>
      <c r="AY22" s="576">
        <v>3625.42</v>
      </c>
      <c r="AZ22" s="588">
        <f t="shared" si="19"/>
        <v>98.90062525233787</v>
      </c>
      <c r="BA22" s="588">
        <f t="shared" si="20"/>
        <v>50.198069017464135</v>
      </c>
      <c r="BB22" s="589">
        <v>0.5</v>
      </c>
      <c r="BC22" s="589">
        <v>1</v>
      </c>
      <c r="BD22" s="593">
        <v>2585</v>
      </c>
      <c r="BE22" s="591">
        <f t="shared" si="21"/>
        <v>18798.61</v>
      </c>
      <c r="BF22" s="592">
        <f t="shared" si="22"/>
        <v>93.56014785691148</v>
      </c>
      <c r="BG22" s="586">
        <v>0.9</v>
      </c>
      <c r="BH22" s="589">
        <f>BE22*100/BE56</f>
        <v>2.4446385619427096</v>
      </c>
      <c r="BI22" s="432">
        <f t="shared" si="1"/>
        <v>59.30813046277404</v>
      </c>
      <c r="BJ22" s="432">
        <f t="shared" si="2"/>
        <v>11.565057203697508</v>
      </c>
      <c r="BK22" s="588">
        <v>2174.07</v>
      </c>
      <c r="BL22" s="432">
        <f t="shared" si="23"/>
        <v>2585</v>
      </c>
      <c r="BM22" s="433">
        <f t="shared" si="24"/>
        <v>0.6648179015866699</v>
      </c>
      <c r="BN22" s="586">
        <v>0</v>
      </c>
      <c r="BO22" s="540">
        <v>8674.28</v>
      </c>
      <c r="BP22" s="540">
        <v>2800.37</v>
      </c>
      <c r="BQ22" s="432">
        <f t="shared" si="38"/>
        <v>32.2836016361012</v>
      </c>
      <c r="BR22" s="433">
        <f t="shared" si="39"/>
        <v>0.32283601636101206</v>
      </c>
      <c r="BS22" s="592">
        <v>0</v>
      </c>
      <c r="BT22" s="601">
        <f t="shared" si="25"/>
        <v>18798.61</v>
      </c>
      <c r="BU22" s="604">
        <v>1</v>
      </c>
      <c r="BV22" s="605">
        <v>1</v>
      </c>
      <c r="BW22" s="608">
        <v>0</v>
      </c>
      <c r="BX22" s="609">
        <v>1</v>
      </c>
      <c r="BY22" s="620">
        <v>0</v>
      </c>
      <c r="BZ22" s="621">
        <f t="shared" si="40"/>
        <v>1</v>
      </c>
      <c r="CA22" s="630">
        <v>0</v>
      </c>
      <c r="CB22" s="42">
        <f t="shared" si="26"/>
        <v>1</v>
      </c>
      <c r="CC22" s="500">
        <v>0</v>
      </c>
      <c r="CD22" s="430">
        <f t="shared" si="27"/>
        <v>1</v>
      </c>
      <c r="CE22" s="395">
        <v>0</v>
      </c>
      <c r="CF22" s="395">
        <v>1</v>
      </c>
      <c r="CG22" s="395">
        <v>0</v>
      </c>
      <c r="CH22" s="432">
        <v>1</v>
      </c>
      <c r="CI22" s="395">
        <v>0</v>
      </c>
      <c r="CJ22" s="395">
        <v>1</v>
      </c>
      <c r="CK22" s="432">
        <v>0</v>
      </c>
      <c r="CL22" s="502">
        <v>1</v>
      </c>
      <c r="CM22" s="431">
        <f t="shared" si="28"/>
        <v>0</v>
      </c>
      <c r="CN22" s="504">
        <f t="shared" si="29"/>
        <v>1</v>
      </c>
      <c r="CO22" s="434">
        <v>0</v>
      </c>
      <c r="CP22" s="488">
        <f t="shared" si="3"/>
        <v>1</v>
      </c>
      <c r="CQ22" s="432">
        <v>0</v>
      </c>
      <c r="CR22" s="432">
        <f t="shared" si="4"/>
        <v>1</v>
      </c>
      <c r="CS22" s="395">
        <v>0</v>
      </c>
      <c r="CT22" s="482">
        <f t="shared" si="5"/>
        <v>1</v>
      </c>
      <c r="CU22" s="395">
        <v>0</v>
      </c>
      <c r="CV22" s="486">
        <f t="shared" si="6"/>
        <v>1</v>
      </c>
      <c r="CW22" s="481">
        <v>0</v>
      </c>
      <c r="CX22" s="482">
        <f t="shared" si="7"/>
        <v>1</v>
      </c>
      <c r="CY22" s="620">
        <v>1</v>
      </c>
      <c r="CZ22" s="621">
        <f t="shared" si="41"/>
        <v>0.5</v>
      </c>
      <c r="DA22" s="643">
        <v>0</v>
      </c>
      <c r="DB22" s="482">
        <f t="shared" si="8"/>
        <v>1</v>
      </c>
      <c r="DC22" s="489"/>
      <c r="DD22" s="482">
        <f t="shared" si="9"/>
        <v>1</v>
      </c>
      <c r="DE22" s="502">
        <v>0</v>
      </c>
      <c r="DF22" s="430">
        <f t="shared" si="30"/>
        <v>1</v>
      </c>
      <c r="DG22" s="500">
        <v>0</v>
      </c>
      <c r="DH22" s="430">
        <f t="shared" si="31"/>
        <v>1</v>
      </c>
      <c r="DI22" s="434"/>
      <c r="DJ22" s="482">
        <f t="shared" si="10"/>
        <v>1</v>
      </c>
      <c r="DK22" s="395">
        <v>0</v>
      </c>
      <c r="DL22" s="432">
        <v>1</v>
      </c>
      <c r="DM22" s="575">
        <v>0</v>
      </c>
      <c r="DN22" s="574">
        <v>1</v>
      </c>
      <c r="DO22" s="395"/>
      <c r="DP22" s="516">
        <f t="shared" si="11"/>
        <v>1</v>
      </c>
      <c r="DQ22" s="633">
        <f>67+114+22+15</f>
        <v>218</v>
      </c>
      <c r="DR22" s="634">
        <f>1-DQ22/(222+287+316+211)*100/100</f>
        <v>0.7895752895752896</v>
      </c>
      <c r="DS22" s="395"/>
      <c r="DT22" s="490">
        <f t="shared" si="12"/>
        <v>1</v>
      </c>
      <c r="DU22" s="491"/>
      <c r="DV22" s="482">
        <v>1</v>
      </c>
      <c r="DW22" s="491"/>
      <c r="DX22" s="491"/>
      <c r="DY22" s="482">
        <v>1</v>
      </c>
      <c r="DZ22" s="491"/>
      <c r="EA22" s="491"/>
      <c r="EB22" s="482">
        <v>1</v>
      </c>
      <c r="EC22" s="491"/>
      <c r="ED22" s="491"/>
      <c r="EE22" s="482">
        <v>1</v>
      </c>
      <c r="EF22" s="491"/>
      <c r="EG22" s="491"/>
      <c r="EH22" s="482">
        <v>1</v>
      </c>
      <c r="EI22" s="491"/>
      <c r="EJ22" s="491"/>
      <c r="EK22" s="482">
        <v>1</v>
      </c>
      <c r="EL22" s="491"/>
      <c r="EM22" s="491"/>
      <c r="EN22" s="482"/>
      <c r="EO22" s="432"/>
      <c r="EP22" s="432"/>
      <c r="EQ22" s="482"/>
      <c r="ER22" s="432">
        <f t="shared" si="32"/>
        <v>19.936469834872888</v>
      </c>
      <c r="ES22" s="518">
        <v>11</v>
      </c>
      <c r="ET22" s="432" t="s">
        <v>117</v>
      </c>
      <c r="EV22" s="54">
        <v>20.727964560599766</v>
      </c>
      <c r="EW22" s="54">
        <v>16</v>
      </c>
      <c r="EX22" s="54">
        <v>1.552704073700215</v>
      </c>
      <c r="EY22" s="54" t="s">
        <v>117</v>
      </c>
      <c r="EZ22" s="441">
        <f t="shared" si="13"/>
        <v>218</v>
      </c>
      <c r="FB22" s="432"/>
    </row>
    <row r="23" spans="1:158" s="54" customFormat="1" ht="18.75">
      <c r="A23" s="479">
        <v>14</v>
      </c>
      <c r="B23" s="493" t="s">
        <v>131</v>
      </c>
      <c r="C23" s="626">
        <v>0</v>
      </c>
      <c r="D23" s="621">
        <v>1</v>
      </c>
      <c r="E23" s="481"/>
      <c r="F23" s="482">
        <v>1</v>
      </c>
      <c r="G23" s="508">
        <v>4676</v>
      </c>
      <c r="H23" s="506">
        <v>5216.48777</v>
      </c>
      <c r="I23" s="433">
        <f t="shared" si="43"/>
        <v>-0.11558763259195888</v>
      </c>
      <c r="J23" s="484">
        <v>0</v>
      </c>
      <c r="K23" s="569">
        <v>3339.87059</v>
      </c>
      <c r="L23" s="554">
        <v>7992.18103</v>
      </c>
      <c r="M23" s="61">
        <f t="shared" si="0"/>
        <v>0.4178922596301601</v>
      </c>
      <c r="N23" s="485">
        <v>0.5</v>
      </c>
      <c r="O23" s="569">
        <v>3339.87059</v>
      </c>
      <c r="P23" s="611">
        <v>9121.086</v>
      </c>
      <c r="Q23" s="58">
        <f t="shared" si="42"/>
        <v>0.3661702773112763</v>
      </c>
      <c r="R23" s="557">
        <f t="shared" si="33"/>
        <v>0.8137117273583918</v>
      </c>
      <c r="S23" s="569">
        <f>3339.87059-1064.29157</f>
        <v>2275.57902</v>
      </c>
      <c r="T23" s="556"/>
      <c r="U23" s="569">
        <f>3242.0133-894.86463</f>
        <v>2347.14867</v>
      </c>
      <c r="V23" s="496">
        <f t="shared" si="14"/>
        <v>0.9695078326674552</v>
      </c>
      <c r="W23" s="35">
        <f t="shared" si="15"/>
        <v>0</v>
      </c>
      <c r="X23" s="559">
        <v>1809.91537</v>
      </c>
      <c r="Y23" s="559">
        <v>1578.20295</v>
      </c>
      <c r="Z23" s="497">
        <f t="shared" si="34"/>
        <v>0.8719761023964342</v>
      </c>
      <c r="AA23" s="560">
        <f t="shared" si="16"/>
        <v>0.1280238976035658</v>
      </c>
      <c r="AB23" s="559">
        <v>1578.20295</v>
      </c>
      <c r="AC23" s="561">
        <f>437.25163+1064.29157+347.80967+725.94895+16.15</f>
        <v>2591.45182</v>
      </c>
      <c r="AD23" s="61">
        <f t="shared" si="35"/>
        <v>0.6090033925461905</v>
      </c>
      <c r="AE23" s="562">
        <f t="shared" si="17"/>
        <v>0.3909966074538095</v>
      </c>
      <c r="AF23" s="563">
        <v>4662.31144</v>
      </c>
      <c r="AG23" s="554">
        <v>7992.18103</v>
      </c>
      <c r="AH23" s="612">
        <v>243.19419</v>
      </c>
      <c r="AI23" s="58">
        <f t="shared" si="36"/>
        <v>0.6016672290541664</v>
      </c>
      <c r="AJ23" s="565">
        <v>0.5</v>
      </c>
      <c r="AK23" s="571">
        <v>32</v>
      </c>
      <c r="AL23" s="571">
        <v>-127.77332</v>
      </c>
      <c r="AM23" s="567">
        <v>-95.8</v>
      </c>
      <c r="AN23" s="485">
        <v>1</v>
      </c>
      <c r="AO23" s="576">
        <v>3399.45</v>
      </c>
      <c r="AP23" s="582">
        <v>5291.9</v>
      </c>
      <c r="AQ23" s="433">
        <f t="shared" si="37"/>
        <v>0.6423874222868913</v>
      </c>
      <c r="AR23" s="395">
        <v>1</v>
      </c>
      <c r="AS23" s="432"/>
      <c r="AT23" s="615"/>
      <c r="AU23" s="553">
        <v>60998.79</v>
      </c>
      <c r="AV23" s="584">
        <v>5390.94</v>
      </c>
      <c r="AW23" s="433">
        <f t="shared" si="18"/>
        <v>0.08837781864197633</v>
      </c>
      <c r="AX23" s="586">
        <v>1</v>
      </c>
      <c r="AY23" s="576">
        <v>3399.45</v>
      </c>
      <c r="AZ23" s="588">
        <f t="shared" si="19"/>
        <v>100</v>
      </c>
      <c r="BA23" s="588">
        <f t="shared" si="20"/>
        <v>63.05857605538181</v>
      </c>
      <c r="BB23" s="589">
        <v>0.5</v>
      </c>
      <c r="BC23" s="589">
        <v>1</v>
      </c>
      <c r="BD23" s="593">
        <v>6243</v>
      </c>
      <c r="BE23" s="591">
        <f t="shared" si="21"/>
        <v>60998.79</v>
      </c>
      <c r="BF23" s="592">
        <f t="shared" si="22"/>
        <v>125.7053015496781</v>
      </c>
      <c r="BG23" s="586">
        <v>1</v>
      </c>
      <c r="BH23" s="589">
        <f>BE23*100/BE63</f>
        <v>7.932501087359403</v>
      </c>
      <c r="BI23" s="432">
        <f t="shared" si="1"/>
        <v>35.485740340349174</v>
      </c>
      <c r="BJ23" s="432">
        <f t="shared" si="2"/>
        <v>1.977612998552922</v>
      </c>
      <c r="BK23" s="588">
        <v>1206.32</v>
      </c>
      <c r="BL23" s="432">
        <f t="shared" si="23"/>
        <v>6243</v>
      </c>
      <c r="BM23" s="433">
        <f t="shared" si="24"/>
        <v>0.15274215816419906</v>
      </c>
      <c r="BN23" s="586">
        <v>0</v>
      </c>
      <c r="BO23" s="541">
        <v>51389.4</v>
      </c>
      <c r="BP23" s="541">
        <v>3269.86</v>
      </c>
      <c r="BQ23" s="432">
        <f t="shared" si="38"/>
        <v>6.362907525676502</v>
      </c>
      <c r="BR23" s="433">
        <f t="shared" si="39"/>
        <v>0.06362907525676502</v>
      </c>
      <c r="BS23" s="592">
        <v>0</v>
      </c>
      <c r="BT23" s="601">
        <f t="shared" si="25"/>
        <v>60998.79</v>
      </c>
      <c r="BU23" s="604">
        <v>1</v>
      </c>
      <c r="BV23" s="605">
        <v>1</v>
      </c>
      <c r="BW23" s="608">
        <v>0</v>
      </c>
      <c r="BX23" s="609">
        <v>1</v>
      </c>
      <c r="BY23" s="620">
        <v>0</v>
      </c>
      <c r="BZ23" s="621">
        <f t="shared" si="40"/>
        <v>1</v>
      </c>
      <c r="CA23" s="630">
        <v>0</v>
      </c>
      <c r="CB23" s="42">
        <f t="shared" si="26"/>
        <v>1</v>
      </c>
      <c r="CC23" s="500">
        <v>0</v>
      </c>
      <c r="CD23" s="430">
        <f t="shared" si="27"/>
        <v>1</v>
      </c>
      <c r="CE23" s="395">
        <v>0</v>
      </c>
      <c r="CF23" s="395">
        <v>1</v>
      </c>
      <c r="CG23" s="395">
        <v>0</v>
      </c>
      <c r="CH23" s="432">
        <v>1</v>
      </c>
      <c r="CI23" s="395">
        <v>0</v>
      </c>
      <c r="CJ23" s="395">
        <v>1</v>
      </c>
      <c r="CK23" s="432">
        <v>0</v>
      </c>
      <c r="CL23" s="502">
        <v>1</v>
      </c>
      <c r="CM23" s="431">
        <f t="shared" si="28"/>
        <v>0</v>
      </c>
      <c r="CN23" s="504">
        <f t="shared" si="29"/>
        <v>1</v>
      </c>
      <c r="CO23" s="434">
        <v>0</v>
      </c>
      <c r="CP23" s="488">
        <f t="shared" si="3"/>
        <v>1</v>
      </c>
      <c r="CQ23" s="432">
        <v>0</v>
      </c>
      <c r="CR23" s="432">
        <f t="shared" si="4"/>
        <v>1</v>
      </c>
      <c r="CS23" s="395">
        <v>0</v>
      </c>
      <c r="CT23" s="482">
        <f t="shared" si="5"/>
        <v>1</v>
      </c>
      <c r="CU23" s="395">
        <v>0</v>
      </c>
      <c r="CV23" s="486">
        <f t="shared" si="6"/>
        <v>1</v>
      </c>
      <c r="CW23" s="481">
        <v>0</v>
      </c>
      <c r="CX23" s="482">
        <f t="shared" si="7"/>
        <v>1</v>
      </c>
      <c r="CY23" s="620">
        <v>1</v>
      </c>
      <c r="CZ23" s="621">
        <f t="shared" si="41"/>
        <v>0.5</v>
      </c>
      <c r="DA23" s="643">
        <v>0</v>
      </c>
      <c r="DB23" s="482">
        <f t="shared" si="8"/>
        <v>1</v>
      </c>
      <c r="DC23" s="489"/>
      <c r="DD23" s="482">
        <f t="shared" si="9"/>
        <v>1</v>
      </c>
      <c r="DE23" s="502">
        <v>0</v>
      </c>
      <c r="DF23" s="430">
        <f t="shared" si="30"/>
        <v>1</v>
      </c>
      <c r="DG23" s="500">
        <f>1+1</f>
        <v>2</v>
      </c>
      <c r="DH23" s="430">
        <f t="shared" si="31"/>
        <v>0.6666666666666667</v>
      </c>
      <c r="DI23" s="434"/>
      <c r="DJ23" s="482">
        <f t="shared" si="10"/>
        <v>1</v>
      </c>
      <c r="DK23" s="395">
        <v>0</v>
      </c>
      <c r="DL23" s="432">
        <v>1</v>
      </c>
      <c r="DM23" s="575">
        <v>0</v>
      </c>
      <c r="DN23" s="574">
        <v>1</v>
      </c>
      <c r="DO23" s="395"/>
      <c r="DP23" s="516">
        <f t="shared" si="11"/>
        <v>1</v>
      </c>
      <c r="DQ23" s="633">
        <f>47+47+38+25</f>
        <v>157</v>
      </c>
      <c r="DR23" s="634">
        <f>1-DQ23/(471+470+517+345)*100/100</f>
        <v>0.9129229062673322</v>
      </c>
      <c r="DS23" s="395"/>
      <c r="DT23" s="490">
        <f t="shared" si="12"/>
        <v>1</v>
      </c>
      <c r="DU23" s="491"/>
      <c r="DV23" s="482">
        <v>1</v>
      </c>
      <c r="DW23" s="491"/>
      <c r="DX23" s="491"/>
      <c r="DY23" s="482">
        <v>1</v>
      </c>
      <c r="DZ23" s="491"/>
      <c r="EA23" s="491"/>
      <c r="EB23" s="482">
        <v>1</v>
      </c>
      <c r="EC23" s="491"/>
      <c r="ED23" s="491"/>
      <c r="EE23" s="482">
        <v>1</v>
      </c>
      <c r="EF23" s="491"/>
      <c r="EG23" s="491"/>
      <c r="EH23" s="482">
        <v>1</v>
      </c>
      <c r="EI23" s="491"/>
      <c r="EJ23" s="491"/>
      <c r="EK23" s="482">
        <v>1</v>
      </c>
      <c r="EL23" s="491"/>
      <c r="EM23" s="491"/>
      <c r="EN23" s="482"/>
      <c r="EO23" s="432"/>
      <c r="EP23" s="432"/>
      <c r="EQ23" s="482"/>
      <c r="ER23" s="432">
        <f t="shared" si="32"/>
        <v>19.745655138683098</v>
      </c>
      <c r="ES23" s="518">
        <v>13</v>
      </c>
      <c r="ET23" s="432" t="s">
        <v>117</v>
      </c>
      <c r="EV23" s="54">
        <v>20.244699851664663</v>
      </c>
      <c r="EW23" s="54">
        <v>18</v>
      </c>
      <c r="EX23" s="54">
        <v>1.552704073700215</v>
      </c>
      <c r="EY23" s="54" t="s">
        <v>116</v>
      </c>
      <c r="EZ23" s="441">
        <f t="shared" si="13"/>
        <v>157</v>
      </c>
      <c r="FB23" s="432"/>
    </row>
    <row r="24" spans="1:158" s="54" customFormat="1" ht="18.75">
      <c r="A24" s="479">
        <v>15</v>
      </c>
      <c r="B24" s="493" t="s">
        <v>132</v>
      </c>
      <c r="C24" s="626">
        <v>0</v>
      </c>
      <c r="D24" s="621">
        <v>1</v>
      </c>
      <c r="E24" s="481"/>
      <c r="F24" s="482">
        <v>1</v>
      </c>
      <c r="G24" s="508">
        <v>2870</v>
      </c>
      <c r="H24" s="506">
        <v>3099.24853</v>
      </c>
      <c r="I24" s="433">
        <f t="shared" si="43"/>
        <v>-0.0798775365853658</v>
      </c>
      <c r="J24" s="484">
        <v>0</v>
      </c>
      <c r="K24" s="569">
        <v>1806.84678</v>
      </c>
      <c r="L24" s="556">
        <v>4703.33944</v>
      </c>
      <c r="M24" s="61">
        <f t="shared" si="0"/>
        <v>0.3841625302723208</v>
      </c>
      <c r="N24" s="485">
        <v>0.5</v>
      </c>
      <c r="O24" s="569">
        <v>1806.84678</v>
      </c>
      <c r="P24" s="611">
        <v>5679.50092</v>
      </c>
      <c r="Q24" s="58">
        <f t="shared" si="42"/>
        <v>0.31813478075816565</v>
      </c>
      <c r="R24" s="557">
        <f t="shared" si="33"/>
        <v>0.7069661794625903</v>
      </c>
      <c r="S24" s="569">
        <f>1806.84678-629.32022</f>
        <v>1177.5265600000002</v>
      </c>
      <c r="T24" s="556"/>
      <c r="U24" s="569">
        <f>1472.9777-528.66644</f>
        <v>944.31126</v>
      </c>
      <c r="V24" s="496">
        <f t="shared" si="14"/>
        <v>1.246968674290721</v>
      </c>
      <c r="W24" s="35">
        <f t="shared" si="15"/>
        <v>1</v>
      </c>
      <c r="X24" s="559">
        <v>3291.34563</v>
      </c>
      <c r="Y24" s="559">
        <v>2768.65775</v>
      </c>
      <c r="Z24" s="497">
        <f t="shared" si="34"/>
        <v>0.8411932568746966</v>
      </c>
      <c r="AA24" s="560">
        <f t="shared" si="16"/>
        <v>0.1588067431253034</v>
      </c>
      <c r="AB24" s="559">
        <v>2768.65775</v>
      </c>
      <c r="AC24" s="561">
        <f>85.20622+629.32022+91.0747+805.37278+13.05</f>
        <v>1624.0239199999999</v>
      </c>
      <c r="AD24" s="61">
        <f t="shared" si="35"/>
        <v>1.7048134057040245</v>
      </c>
      <c r="AE24" s="562">
        <v>0</v>
      </c>
      <c r="AF24" s="563">
        <v>2896.50816</v>
      </c>
      <c r="AG24" s="556">
        <v>4703.33944</v>
      </c>
      <c r="AH24" s="612">
        <v>91.18559</v>
      </c>
      <c r="AI24" s="58">
        <f t="shared" si="36"/>
        <v>0.6280163789419124</v>
      </c>
      <c r="AJ24" s="565">
        <v>0.5</v>
      </c>
      <c r="AK24" s="571">
        <v>-509.68626</v>
      </c>
      <c r="AL24" s="571">
        <v>-1184.31758</v>
      </c>
      <c r="AM24" s="567">
        <v>-674.6</v>
      </c>
      <c r="AN24" s="485">
        <v>1</v>
      </c>
      <c r="AO24" s="576">
        <v>2822.06</v>
      </c>
      <c r="AP24" s="582">
        <v>3143.9</v>
      </c>
      <c r="AQ24" s="433">
        <f t="shared" si="37"/>
        <v>0.8976303317535544</v>
      </c>
      <c r="AR24" s="395">
        <v>1</v>
      </c>
      <c r="AS24" s="432"/>
      <c r="AT24" s="615"/>
      <c r="AU24" s="553">
        <v>14490.61</v>
      </c>
      <c r="AV24" s="584">
        <v>5573.96</v>
      </c>
      <c r="AW24" s="433">
        <f t="shared" si="18"/>
        <v>0.3846601350805798</v>
      </c>
      <c r="AX24" s="586">
        <v>1</v>
      </c>
      <c r="AY24" s="576">
        <v>2776.76</v>
      </c>
      <c r="AZ24" s="588">
        <f t="shared" si="19"/>
        <v>98.39478962176567</v>
      </c>
      <c r="BA24" s="588">
        <f t="shared" si="20"/>
        <v>49.816647410458636</v>
      </c>
      <c r="BB24" s="589">
        <v>0.5</v>
      </c>
      <c r="BC24" s="589">
        <v>1</v>
      </c>
      <c r="BD24" s="593">
        <v>1592</v>
      </c>
      <c r="BE24" s="591">
        <f t="shared" si="21"/>
        <v>14490.61</v>
      </c>
      <c r="BF24" s="592">
        <f t="shared" si="22"/>
        <v>117.10334846444594</v>
      </c>
      <c r="BG24" s="586">
        <v>1</v>
      </c>
      <c r="BH24" s="589">
        <f>BE24*100/BE61</f>
        <v>1.8844108150588075</v>
      </c>
      <c r="BI24" s="432">
        <f t="shared" si="1"/>
        <v>51.50173986378745</v>
      </c>
      <c r="BJ24" s="432">
        <f t="shared" si="2"/>
        <v>10.030012539154667</v>
      </c>
      <c r="BK24" s="588">
        <v>1453.41</v>
      </c>
      <c r="BL24" s="432">
        <f t="shared" si="23"/>
        <v>1592</v>
      </c>
      <c r="BM24" s="433">
        <f t="shared" si="24"/>
        <v>0.7216636157757204</v>
      </c>
      <c r="BN24" s="586">
        <v>0</v>
      </c>
      <c r="BO24" s="542">
        <v>7814.09</v>
      </c>
      <c r="BP24" s="542">
        <v>2039.83</v>
      </c>
      <c r="BQ24" s="432">
        <f t="shared" si="38"/>
        <v>26.104511209878563</v>
      </c>
      <c r="BR24" s="433">
        <f t="shared" si="39"/>
        <v>0.2610451120987856</v>
      </c>
      <c r="BS24" s="592">
        <v>0</v>
      </c>
      <c r="BT24" s="601">
        <f t="shared" si="25"/>
        <v>14490.61</v>
      </c>
      <c r="BU24" s="604">
        <v>1</v>
      </c>
      <c r="BV24" s="605">
        <v>1</v>
      </c>
      <c r="BW24" s="608">
        <v>0</v>
      </c>
      <c r="BX24" s="609">
        <v>1</v>
      </c>
      <c r="BY24" s="620">
        <v>0</v>
      </c>
      <c r="BZ24" s="621">
        <f t="shared" si="40"/>
        <v>1</v>
      </c>
      <c r="CA24" s="630">
        <v>0</v>
      </c>
      <c r="CB24" s="42">
        <f t="shared" si="26"/>
        <v>1</v>
      </c>
      <c r="CC24" s="500">
        <v>0</v>
      </c>
      <c r="CD24" s="430">
        <f t="shared" si="27"/>
        <v>1</v>
      </c>
      <c r="CE24" s="395">
        <v>0</v>
      </c>
      <c r="CF24" s="395">
        <v>1</v>
      </c>
      <c r="CG24" s="395">
        <v>0</v>
      </c>
      <c r="CH24" s="432">
        <v>1</v>
      </c>
      <c r="CI24" s="395">
        <v>0</v>
      </c>
      <c r="CJ24" s="395">
        <v>1</v>
      </c>
      <c r="CK24" s="432">
        <v>0</v>
      </c>
      <c r="CL24" s="502">
        <v>1</v>
      </c>
      <c r="CM24" s="431">
        <f t="shared" si="28"/>
        <v>0</v>
      </c>
      <c r="CN24" s="504">
        <f t="shared" si="29"/>
        <v>1</v>
      </c>
      <c r="CO24" s="434">
        <v>0</v>
      </c>
      <c r="CP24" s="488">
        <f t="shared" si="3"/>
        <v>1</v>
      </c>
      <c r="CQ24" s="432">
        <v>0</v>
      </c>
      <c r="CR24" s="432">
        <f t="shared" si="4"/>
        <v>1</v>
      </c>
      <c r="CS24" s="395">
        <v>0</v>
      </c>
      <c r="CT24" s="482">
        <f t="shared" si="5"/>
        <v>1</v>
      </c>
      <c r="CU24" s="395">
        <v>0</v>
      </c>
      <c r="CV24" s="486">
        <f t="shared" si="6"/>
        <v>1</v>
      </c>
      <c r="CW24" s="481">
        <v>0</v>
      </c>
      <c r="CX24" s="482">
        <f t="shared" si="7"/>
        <v>1</v>
      </c>
      <c r="CY24" s="620">
        <v>0</v>
      </c>
      <c r="CZ24" s="621">
        <f t="shared" si="41"/>
        <v>1</v>
      </c>
      <c r="DA24" s="643">
        <v>0</v>
      </c>
      <c r="DB24" s="482">
        <f t="shared" si="8"/>
        <v>1</v>
      </c>
      <c r="DC24" s="489"/>
      <c r="DD24" s="482">
        <f t="shared" si="9"/>
        <v>1</v>
      </c>
      <c r="DE24" s="502">
        <v>1</v>
      </c>
      <c r="DF24" s="430">
        <f t="shared" si="30"/>
        <v>0.5</v>
      </c>
      <c r="DG24" s="500">
        <v>1</v>
      </c>
      <c r="DH24" s="430">
        <f t="shared" si="31"/>
        <v>0.8333333333333334</v>
      </c>
      <c r="DI24" s="434"/>
      <c r="DJ24" s="482">
        <f t="shared" si="10"/>
        <v>1</v>
      </c>
      <c r="DK24" s="395">
        <v>0</v>
      </c>
      <c r="DL24" s="432">
        <v>1</v>
      </c>
      <c r="DM24" s="575">
        <v>0</v>
      </c>
      <c r="DN24" s="574">
        <v>1</v>
      </c>
      <c r="DO24" s="395"/>
      <c r="DP24" s="516">
        <f t="shared" si="11"/>
        <v>1</v>
      </c>
      <c r="DQ24" s="633">
        <f>117+67+73+40</f>
        <v>297</v>
      </c>
      <c r="DR24" s="634">
        <f>1-DQ24/(589+669+735+490)*100/100</f>
        <v>0.8803866290777286</v>
      </c>
      <c r="DS24" s="395"/>
      <c r="DT24" s="490">
        <f t="shared" si="12"/>
        <v>1</v>
      </c>
      <c r="DU24" s="491"/>
      <c r="DV24" s="482">
        <v>1</v>
      </c>
      <c r="DW24" s="491"/>
      <c r="DX24" s="491"/>
      <c r="DY24" s="482">
        <v>1</v>
      </c>
      <c r="DZ24" s="491"/>
      <c r="EA24" s="491"/>
      <c r="EB24" s="482">
        <v>1</v>
      </c>
      <c r="EC24" s="491"/>
      <c r="ED24" s="491"/>
      <c r="EE24" s="482">
        <v>1</v>
      </c>
      <c r="EF24" s="491"/>
      <c r="EG24" s="491"/>
      <c r="EH24" s="482">
        <v>1</v>
      </c>
      <c r="EI24" s="491"/>
      <c r="EJ24" s="491"/>
      <c r="EK24" s="482">
        <v>1</v>
      </c>
      <c r="EL24" s="491"/>
      <c r="EM24" s="491"/>
      <c r="EN24" s="482"/>
      <c r="EO24" s="432"/>
      <c r="EP24" s="432"/>
      <c r="EQ24" s="482"/>
      <c r="ER24" s="432">
        <f t="shared" si="32"/>
        <v>20.246159551665624</v>
      </c>
      <c r="ES24" s="518">
        <v>10</v>
      </c>
      <c r="ET24" s="432" t="s">
        <v>117</v>
      </c>
      <c r="EU24" s="443"/>
      <c r="EV24" s="443">
        <v>20.94788285343631</v>
      </c>
      <c r="EW24" s="443">
        <v>21</v>
      </c>
      <c r="EX24" s="443">
        <v>1.552704073700215</v>
      </c>
      <c r="EY24" s="443" t="s">
        <v>116</v>
      </c>
      <c r="EZ24" s="441">
        <f t="shared" si="13"/>
        <v>297</v>
      </c>
      <c r="FB24" s="432"/>
    </row>
    <row r="25" spans="1:158" s="54" customFormat="1" ht="18.75">
      <c r="A25" s="479">
        <v>16</v>
      </c>
      <c r="B25" s="493" t="s">
        <v>133</v>
      </c>
      <c r="C25" s="626">
        <v>0</v>
      </c>
      <c r="D25" s="621">
        <v>1</v>
      </c>
      <c r="E25" s="481"/>
      <c r="F25" s="482">
        <v>1</v>
      </c>
      <c r="G25" s="508">
        <v>2355.84</v>
      </c>
      <c r="H25" s="506">
        <v>2639.73092</v>
      </c>
      <c r="I25" s="433">
        <f t="shared" si="43"/>
        <v>-0.12050517861994015</v>
      </c>
      <c r="J25" s="484">
        <v>0</v>
      </c>
      <c r="K25" s="569">
        <v>5267.10243</v>
      </c>
      <c r="L25" s="556">
        <v>5752.99526</v>
      </c>
      <c r="M25" s="61">
        <f t="shared" si="0"/>
        <v>0.9155408951266892</v>
      </c>
      <c r="N25" s="485">
        <v>1</v>
      </c>
      <c r="O25" s="569">
        <v>5267.10243</v>
      </c>
      <c r="P25" s="611">
        <v>8518.61738</v>
      </c>
      <c r="Q25" s="58">
        <f t="shared" si="42"/>
        <v>0.6183048486678245</v>
      </c>
      <c r="R25" s="557">
        <v>1</v>
      </c>
      <c r="S25" s="569">
        <f>5267.10243-632.40513</f>
        <v>4634.6973</v>
      </c>
      <c r="T25" s="556"/>
      <c r="U25" s="569">
        <f>2694.9482-533.82414</f>
        <v>2161.1240599999996</v>
      </c>
      <c r="V25" s="496">
        <f t="shared" si="14"/>
        <v>2.1445771604615795</v>
      </c>
      <c r="W25" s="35">
        <f t="shared" si="15"/>
        <v>1</v>
      </c>
      <c r="X25" s="559">
        <v>1111.63002</v>
      </c>
      <c r="Y25" s="559">
        <v>1018.93279</v>
      </c>
      <c r="Z25" s="497">
        <f t="shared" si="34"/>
        <v>0.9166114369599337</v>
      </c>
      <c r="AA25" s="560">
        <f t="shared" si="16"/>
        <v>0.08338856304006625</v>
      </c>
      <c r="AB25" s="559">
        <v>1018.93279</v>
      </c>
      <c r="AC25" s="561">
        <f>3593.5629+632.40513+78.7585+574.6034+1.3</f>
        <v>4880.62993</v>
      </c>
      <c r="AD25" s="61">
        <f>AB25/AC25*100%</f>
        <v>0.20877075390143338</v>
      </c>
      <c r="AE25" s="562">
        <f t="shared" si="17"/>
        <v>0.7912292460985666</v>
      </c>
      <c r="AF25" s="563">
        <v>485.89283</v>
      </c>
      <c r="AG25" s="556">
        <v>5752.99526</v>
      </c>
      <c r="AH25" s="612">
        <v>100.54609</v>
      </c>
      <c r="AI25" s="58">
        <f>AF25/(AG25-AH25)*100%</f>
        <v>0.08596146827446836</v>
      </c>
      <c r="AJ25" s="565">
        <v>1</v>
      </c>
      <c r="AK25" s="567">
        <v>-640.25895</v>
      </c>
      <c r="AL25" s="567">
        <v>0</v>
      </c>
      <c r="AM25" s="567">
        <v>640.3</v>
      </c>
      <c r="AN25" s="485">
        <v>0</v>
      </c>
      <c r="AO25" s="576">
        <v>2971.28</v>
      </c>
      <c r="AP25" s="582">
        <v>3701.5</v>
      </c>
      <c r="AQ25" s="433">
        <f t="shared" si="37"/>
        <v>0.8027232203160881</v>
      </c>
      <c r="AR25" s="395">
        <v>1</v>
      </c>
      <c r="AS25" s="432"/>
      <c r="AT25" s="615"/>
      <c r="AU25" s="553">
        <v>16512.97</v>
      </c>
      <c r="AV25" s="584">
        <v>5303.44</v>
      </c>
      <c r="AW25" s="433">
        <f t="shared" si="18"/>
        <v>0.32116814843120284</v>
      </c>
      <c r="AX25" s="586">
        <v>1</v>
      </c>
      <c r="AY25" s="576">
        <v>2876.98</v>
      </c>
      <c r="AZ25" s="588">
        <f t="shared" si="19"/>
        <v>96.8262836218734</v>
      </c>
      <c r="BA25" s="588">
        <f t="shared" si="20"/>
        <v>54.24743185555037</v>
      </c>
      <c r="BB25" s="589">
        <v>0.5</v>
      </c>
      <c r="BC25" s="589">
        <v>1</v>
      </c>
      <c r="BD25" s="593">
        <v>2511</v>
      </c>
      <c r="BE25" s="591">
        <f t="shared" si="21"/>
        <v>16512.97</v>
      </c>
      <c r="BF25" s="592">
        <f t="shared" si="22"/>
        <v>84.60658932990277</v>
      </c>
      <c r="BG25" s="586">
        <v>0.8</v>
      </c>
      <c r="BH25" s="589">
        <f>BE25*100/BE56</f>
        <v>2.147405751499877</v>
      </c>
      <c r="BI25" s="432">
        <f t="shared" si="1"/>
        <v>85.190221049514</v>
      </c>
      <c r="BJ25" s="432">
        <f t="shared" si="2"/>
        <v>15.328799119722252</v>
      </c>
      <c r="BK25" s="588">
        <v>2531.24</v>
      </c>
      <c r="BL25" s="432">
        <f t="shared" si="23"/>
        <v>2511</v>
      </c>
      <c r="BM25" s="433">
        <f t="shared" si="24"/>
        <v>0.796849567940636</v>
      </c>
      <c r="BN25" s="586">
        <v>0</v>
      </c>
      <c r="BO25" s="543">
        <v>7127.9</v>
      </c>
      <c r="BP25" s="543">
        <v>2355.14</v>
      </c>
      <c r="BQ25" s="432">
        <f t="shared" si="38"/>
        <v>33.04114816425595</v>
      </c>
      <c r="BR25" s="433">
        <f t="shared" si="39"/>
        <v>0.3304114816425595</v>
      </c>
      <c r="BS25" s="592">
        <v>0</v>
      </c>
      <c r="BT25" s="601">
        <f t="shared" si="25"/>
        <v>16512.97</v>
      </c>
      <c r="BU25" s="604">
        <v>1</v>
      </c>
      <c r="BV25" s="605">
        <v>1</v>
      </c>
      <c r="BW25" s="608">
        <v>0</v>
      </c>
      <c r="BX25" s="609">
        <v>1</v>
      </c>
      <c r="BY25" s="620">
        <v>0</v>
      </c>
      <c r="BZ25" s="621">
        <f t="shared" si="40"/>
        <v>1</v>
      </c>
      <c r="CA25" s="630">
        <v>0</v>
      </c>
      <c r="CB25" s="42">
        <f t="shared" si="26"/>
        <v>1</v>
      </c>
      <c r="CC25" s="500">
        <v>0</v>
      </c>
      <c r="CD25" s="430">
        <f t="shared" si="27"/>
        <v>1</v>
      </c>
      <c r="CE25" s="395">
        <v>0</v>
      </c>
      <c r="CF25" s="395">
        <v>1</v>
      </c>
      <c r="CG25" s="395">
        <v>0</v>
      </c>
      <c r="CH25" s="432">
        <v>1</v>
      </c>
      <c r="CI25" s="395">
        <v>0</v>
      </c>
      <c r="CJ25" s="395">
        <v>1</v>
      </c>
      <c r="CK25" s="432">
        <v>0</v>
      </c>
      <c r="CL25" s="502">
        <v>1</v>
      </c>
      <c r="CM25" s="431">
        <f t="shared" si="28"/>
        <v>0</v>
      </c>
      <c r="CN25" s="504">
        <f t="shared" si="29"/>
        <v>1</v>
      </c>
      <c r="CO25" s="434">
        <v>0</v>
      </c>
      <c r="CP25" s="488">
        <f t="shared" si="3"/>
        <v>1</v>
      </c>
      <c r="CQ25" s="432">
        <v>0</v>
      </c>
      <c r="CR25" s="432">
        <f t="shared" si="4"/>
        <v>1</v>
      </c>
      <c r="CS25" s="395">
        <v>0</v>
      </c>
      <c r="CT25" s="482">
        <f t="shared" si="5"/>
        <v>1</v>
      </c>
      <c r="CU25" s="395">
        <v>0</v>
      </c>
      <c r="CV25" s="486">
        <f t="shared" si="6"/>
        <v>1</v>
      </c>
      <c r="CW25" s="481">
        <v>0</v>
      </c>
      <c r="CX25" s="482">
        <f t="shared" si="7"/>
        <v>1</v>
      </c>
      <c r="CY25" s="620">
        <v>0</v>
      </c>
      <c r="CZ25" s="621">
        <f t="shared" si="41"/>
        <v>1</v>
      </c>
      <c r="DA25" s="643">
        <v>0</v>
      </c>
      <c r="DB25" s="482">
        <f t="shared" si="8"/>
        <v>1</v>
      </c>
      <c r="DC25" s="489"/>
      <c r="DD25" s="482">
        <f t="shared" si="9"/>
        <v>1</v>
      </c>
      <c r="DE25" s="502">
        <v>1</v>
      </c>
      <c r="DF25" s="430">
        <f t="shared" si="30"/>
        <v>0.5</v>
      </c>
      <c r="DG25" s="500">
        <f>3+1+1+1</f>
        <v>6</v>
      </c>
      <c r="DH25" s="430">
        <f t="shared" si="31"/>
        <v>0</v>
      </c>
      <c r="DI25" s="434"/>
      <c r="DJ25" s="482">
        <f t="shared" si="10"/>
        <v>1</v>
      </c>
      <c r="DK25" s="395">
        <v>0</v>
      </c>
      <c r="DL25" s="432">
        <v>1</v>
      </c>
      <c r="DM25" s="575">
        <v>0</v>
      </c>
      <c r="DN25" s="574">
        <v>1</v>
      </c>
      <c r="DO25" s="395"/>
      <c r="DP25" s="516">
        <f t="shared" si="11"/>
        <v>1</v>
      </c>
      <c r="DQ25" s="633">
        <f>29+60+25+15</f>
        <v>129</v>
      </c>
      <c r="DR25" s="634">
        <f>1-DQ25/(291+303+333+222)*100/100</f>
        <v>0.8877284595300261</v>
      </c>
      <c r="DS25" s="395"/>
      <c r="DT25" s="490">
        <f t="shared" si="12"/>
        <v>1</v>
      </c>
      <c r="DU25" s="491"/>
      <c r="DV25" s="482">
        <v>1</v>
      </c>
      <c r="DW25" s="491"/>
      <c r="DX25" s="491"/>
      <c r="DY25" s="482">
        <v>1</v>
      </c>
      <c r="DZ25" s="491"/>
      <c r="EA25" s="491"/>
      <c r="EB25" s="482">
        <v>1</v>
      </c>
      <c r="EC25" s="491"/>
      <c r="ED25" s="491"/>
      <c r="EE25" s="482">
        <v>1</v>
      </c>
      <c r="EF25" s="491"/>
      <c r="EG25" s="491"/>
      <c r="EH25" s="482">
        <v>1</v>
      </c>
      <c r="EI25" s="491"/>
      <c r="EJ25" s="491"/>
      <c r="EK25" s="482">
        <v>1</v>
      </c>
      <c r="EL25" s="491"/>
      <c r="EM25" s="491"/>
      <c r="EN25" s="482"/>
      <c r="EO25" s="432"/>
      <c r="EP25" s="432"/>
      <c r="EQ25" s="482"/>
      <c r="ER25" s="432">
        <f t="shared" si="32"/>
        <v>21.062346268668662</v>
      </c>
      <c r="ES25" s="518">
        <v>5</v>
      </c>
      <c r="ET25" s="432" t="s">
        <v>117</v>
      </c>
      <c r="EV25" s="54">
        <v>22.12619982637446</v>
      </c>
      <c r="EW25" s="54">
        <v>9</v>
      </c>
      <c r="EX25" s="54">
        <v>1.552704073700215</v>
      </c>
      <c r="EY25" s="54" t="s">
        <v>117</v>
      </c>
      <c r="EZ25" s="441">
        <f t="shared" si="13"/>
        <v>129</v>
      </c>
      <c r="FB25" s="432"/>
    </row>
    <row r="26" spans="1:158" s="443" customFormat="1" ht="24" customHeight="1">
      <c r="A26" s="479">
        <v>17</v>
      </c>
      <c r="B26" s="493" t="s">
        <v>134</v>
      </c>
      <c r="C26" s="626">
        <v>0</v>
      </c>
      <c r="D26" s="621">
        <v>1</v>
      </c>
      <c r="E26" s="481"/>
      <c r="F26" s="482">
        <v>1</v>
      </c>
      <c r="G26" s="508">
        <v>2763.90703</v>
      </c>
      <c r="H26" s="506">
        <v>2644.13732</v>
      </c>
      <c r="I26" s="433">
        <f t="shared" si="43"/>
        <v>0.04333347999769733</v>
      </c>
      <c r="J26" s="484">
        <f>1-(I26/20%)</f>
        <v>0.7833326000115134</v>
      </c>
      <c r="K26" s="569">
        <v>2341.55714</v>
      </c>
      <c r="L26" s="556">
        <v>5357.51797</v>
      </c>
      <c r="M26" s="61">
        <f t="shared" si="0"/>
        <v>0.4370600627215442</v>
      </c>
      <c r="N26" s="485">
        <v>0.5</v>
      </c>
      <c r="O26" s="569">
        <v>2341.55714</v>
      </c>
      <c r="P26" s="611">
        <v>5251.76</v>
      </c>
      <c r="Q26" s="58">
        <f t="shared" si="42"/>
        <v>0.44586141407832797</v>
      </c>
      <c r="R26" s="557">
        <f t="shared" si="33"/>
        <v>0.9908031423962843</v>
      </c>
      <c r="S26" s="569">
        <f>2341.55714-684.84849</f>
        <v>1656.70865</v>
      </c>
      <c r="T26" s="556"/>
      <c r="U26" s="569">
        <f>1455.19347-577.66477</f>
        <v>877.5287</v>
      </c>
      <c r="V26" s="496">
        <f t="shared" si="14"/>
        <v>1.8879253179981466</v>
      </c>
      <c r="W26" s="35">
        <f t="shared" si="15"/>
        <v>1</v>
      </c>
      <c r="X26" s="559">
        <v>2978.92636</v>
      </c>
      <c r="Y26" s="559">
        <v>2739.55998</v>
      </c>
      <c r="Z26" s="497">
        <f t="shared" si="34"/>
        <v>0.9196467615936635</v>
      </c>
      <c r="AA26" s="560">
        <f t="shared" si="16"/>
        <v>0.08035323840633646</v>
      </c>
      <c r="AB26" s="559">
        <v>2739.55998</v>
      </c>
      <c r="AC26" s="561">
        <f>320.08098+684.84849+9.048+533.23629+8.14</f>
        <v>1555.3537600000002</v>
      </c>
      <c r="AD26" s="61">
        <f t="shared" si="35"/>
        <v>1.7613741969543955</v>
      </c>
      <c r="AE26" s="562">
        <v>0</v>
      </c>
      <c r="AF26" s="563">
        <v>3015.96083</v>
      </c>
      <c r="AG26" s="556">
        <v>5357.51797</v>
      </c>
      <c r="AH26" s="612">
        <v>125.05879</v>
      </c>
      <c r="AI26" s="58">
        <f>AF26/(AG26-AH26)*100%</f>
        <v>0.576394526215874</v>
      </c>
      <c r="AJ26" s="565">
        <v>0.5</v>
      </c>
      <c r="AK26" s="571">
        <v>-1633.76238</v>
      </c>
      <c r="AL26" s="571">
        <v>-3489.77517</v>
      </c>
      <c r="AM26" s="567">
        <v>-1856</v>
      </c>
      <c r="AN26" s="485">
        <v>1</v>
      </c>
      <c r="AO26" s="576">
        <v>3992</v>
      </c>
      <c r="AP26" s="582">
        <v>3992.2</v>
      </c>
      <c r="AQ26" s="433">
        <f t="shared" si="37"/>
        <v>0.9999499023095035</v>
      </c>
      <c r="AR26" s="395">
        <v>1</v>
      </c>
      <c r="AS26" s="432"/>
      <c r="AT26" s="615"/>
      <c r="AU26" s="553">
        <v>16904.42</v>
      </c>
      <c r="AV26" s="584">
        <v>5964.08</v>
      </c>
      <c r="AW26" s="433">
        <f t="shared" si="18"/>
        <v>0.35281186813862886</v>
      </c>
      <c r="AX26" s="586">
        <v>1</v>
      </c>
      <c r="AY26" s="576">
        <v>3810</v>
      </c>
      <c r="AZ26" s="588">
        <f t="shared" si="19"/>
        <v>95.44088176352706</v>
      </c>
      <c r="BA26" s="588">
        <f t="shared" si="20"/>
        <v>63.88244289144344</v>
      </c>
      <c r="BB26" s="589">
        <v>0.5</v>
      </c>
      <c r="BC26" s="589">
        <v>1</v>
      </c>
      <c r="BD26" s="593">
        <v>2621</v>
      </c>
      <c r="BE26" s="591">
        <f t="shared" si="21"/>
        <v>16904.42</v>
      </c>
      <c r="BF26" s="592">
        <f t="shared" si="22"/>
        <v>82.97723565326477</v>
      </c>
      <c r="BG26" s="586">
        <v>0.8</v>
      </c>
      <c r="BH26" s="589">
        <f>BE26*100/BE32</f>
        <v>72.35409481301143</v>
      </c>
      <c r="BI26" s="432">
        <f t="shared" si="1"/>
        <v>4.38376753507014</v>
      </c>
      <c r="BJ26" s="432">
        <f t="shared" si="2"/>
        <v>1.0352322055415093</v>
      </c>
      <c r="BK26" s="588">
        <v>175</v>
      </c>
      <c r="BL26" s="432">
        <f t="shared" si="23"/>
        <v>2621</v>
      </c>
      <c r="BM26" s="433">
        <f t="shared" si="24"/>
        <v>0.05277895135357876</v>
      </c>
      <c r="BN26" s="586">
        <v>0</v>
      </c>
      <c r="BO26" s="544">
        <v>10743.8</v>
      </c>
      <c r="BP26" s="544">
        <v>3546.7</v>
      </c>
      <c r="BQ26" s="432">
        <f t="shared" si="38"/>
        <v>33.0115973863996</v>
      </c>
      <c r="BR26" s="433">
        <f t="shared" si="39"/>
        <v>0.330115973863996</v>
      </c>
      <c r="BS26" s="592">
        <v>0</v>
      </c>
      <c r="BT26" s="601">
        <f t="shared" si="25"/>
        <v>16904.42</v>
      </c>
      <c r="BU26" s="604">
        <v>1</v>
      </c>
      <c r="BV26" s="605">
        <v>1</v>
      </c>
      <c r="BW26" s="608">
        <v>4.329738510205389</v>
      </c>
      <c r="BX26" s="609">
        <v>0.9567026148979461</v>
      </c>
      <c r="BY26" s="620">
        <v>0</v>
      </c>
      <c r="BZ26" s="621">
        <f t="shared" si="40"/>
        <v>1</v>
      </c>
      <c r="CA26" s="630">
        <v>0</v>
      </c>
      <c r="CB26" s="42">
        <f t="shared" si="26"/>
        <v>1</v>
      </c>
      <c r="CC26" s="500">
        <v>0</v>
      </c>
      <c r="CD26" s="430">
        <f t="shared" si="27"/>
        <v>1</v>
      </c>
      <c r="CE26" s="395">
        <v>0</v>
      </c>
      <c r="CF26" s="395">
        <v>1</v>
      </c>
      <c r="CG26" s="395">
        <v>0</v>
      </c>
      <c r="CH26" s="432">
        <v>1</v>
      </c>
      <c r="CI26" s="395">
        <v>0</v>
      </c>
      <c r="CJ26" s="395">
        <v>1</v>
      </c>
      <c r="CK26" s="432">
        <v>0</v>
      </c>
      <c r="CL26" s="502">
        <v>1</v>
      </c>
      <c r="CM26" s="431">
        <f t="shared" si="28"/>
        <v>0</v>
      </c>
      <c r="CN26" s="504">
        <f t="shared" si="29"/>
        <v>1</v>
      </c>
      <c r="CO26" s="434">
        <v>0</v>
      </c>
      <c r="CP26" s="488">
        <f t="shared" si="3"/>
        <v>1</v>
      </c>
      <c r="CQ26" s="432">
        <v>0</v>
      </c>
      <c r="CR26" s="432">
        <f t="shared" si="4"/>
        <v>1</v>
      </c>
      <c r="CS26" s="395">
        <v>0</v>
      </c>
      <c r="CT26" s="482">
        <f t="shared" si="5"/>
        <v>1</v>
      </c>
      <c r="CU26" s="395">
        <v>0</v>
      </c>
      <c r="CV26" s="486">
        <f t="shared" si="6"/>
        <v>1</v>
      </c>
      <c r="CW26" s="481">
        <v>0</v>
      </c>
      <c r="CX26" s="482">
        <f t="shared" si="7"/>
        <v>1</v>
      </c>
      <c r="CY26" s="620">
        <v>0</v>
      </c>
      <c r="CZ26" s="621">
        <f t="shared" si="41"/>
        <v>1</v>
      </c>
      <c r="DA26" s="643">
        <v>0</v>
      </c>
      <c r="DB26" s="482">
        <f t="shared" si="8"/>
        <v>1</v>
      </c>
      <c r="DC26" s="489"/>
      <c r="DD26" s="482">
        <f t="shared" si="9"/>
        <v>1</v>
      </c>
      <c r="DE26" s="502">
        <v>0</v>
      </c>
      <c r="DF26" s="430">
        <f t="shared" si="30"/>
        <v>1</v>
      </c>
      <c r="DG26" s="500">
        <v>0</v>
      </c>
      <c r="DH26" s="430">
        <f t="shared" si="31"/>
        <v>1</v>
      </c>
      <c r="DI26" s="434"/>
      <c r="DJ26" s="482">
        <f t="shared" si="10"/>
        <v>1</v>
      </c>
      <c r="DK26" s="395">
        <v>0</v>
      </c>
      <c r="DL26" s="432">
        <v>1</v>
      </c>
      <c r="DM26" s="575">
        <v>0</v>
      </c>
      <c r="DN26" s="574">
        <v>1</v>
      </c>
      <c r="DO26" s="395"/>
      <c r="DP26" s="516">
        <f t="shared" si="11"/>
        <v>1</v>
      </c>
      <c r="DQ26" s="633">
        <f>38+22+17+10</f>
        <v>87</v>
      </c>
      <c r="DR26" s="634">
        <f>1-DQ26/(189+225+277+165)*100/100</f>
        <v>0.8983644859813085</v>
      </c>
      <c r="DS26" s="395"/>
      <c r="DT26" s="490">
        <f t="shared" si="12"/>
        <v>1</v>
      </c>
      <c r="DU26" s="491"/>
      <c r="DV26" s="482">
        <v>1</v>
      </c>
      <c r="DW26" s="491"/>
      <c r="DX26" s="491"/>
      <c r="DY26" s="482">
        <v>0</v>
      </c>
      <c r="DZ26" s="491"/>
      <c r="EA26" s="491"/>
      <c r="EB26" s="482">
        <v>0</v>
      </c>
      <c r="EC26" s="491"/>
      <c r="ED26" s="491"/>
      <c r="EE26" s="482">
        <v>1</v>
      </c>
      <c r="EF26" s="491"/>
      <c r="EG26" s="491"/>
      <c r="EH26" s="482">
        <v>1</v>
      </c>
      <c r="EI26" s="491"/>
      <c r="EJ26" s="491"/>
      <c r="EK26" s="482">
        <v>1</v>
      </c>
      <c r="EL26" s="491"/>
      <c r="EM26" s="491"/>
      <c r="EN26" s="482"/>
      <c r="EO26" s="432"/>
      <c r="EP26" s="432"/>
      <c r="EQ26" s="482"/>
      <c r="ER26" s="432">
        <f t="shared" si="32"/>
        <v>18.226223481681874</v>
      </c>
      <c r="ES26" s="518">
        <v>24</v>
      </c>
      <c r="ET26" s="432" t="s">
        <v>117</v>
      </c>
      <c r="EU26" s="54"/>
      <c r="EV26" s="54">
        <v>22.201410392222645</v>
      </c>
      <c r="EW26" s="54">
        <v>8</v>
      </c>
      <c r="EX26" s="54">
        <v>1.552704073700215</v>
      </c>
      <c r="EY26" s="54" t="s">
        <v>117</v>
      </c>
      <c r="EZ26" s="441">
        <f t="shared" si="13"/>
        <v>87</v>
      </c>
      <c r="FB26" s="432"/>
    </row>
    <row r="27" spans="1:158" s="54" customFormat="1" ht="18.75">
      <c r="A27" s="479">
        <v>18</v>
      </c>
      <c r="B27" s="493" t="s">
        <v>135</v>
      </c>
      <c r="C27" s="626">
        <v>0</v>
      </c>
      <c r="D27" s="621">
        <v>1</v>
      </c>
      <c r="E27" s="481"/>
      <c r="F27" s="432">
        <v>1</v>
      </c>
      <c r="G27" s="508">
        <v>2199.09444</v>
      </c>
      <c r="H27" s="506">
        <v>1788.68372</v>
      </c>
      <c r="I27" s="433">
        <f t="shared" si="43"/>
        <v>0.18662714639940606</v>
      </c>
      <c r="J27" s="484">
        <f>1-(I27/20%)</f>
        <v>0.06686426800296974</v>
      </c>
      <c r="K27" s="569">
        <v>1341.20106</v>
      </c>
      <c r="L27" s="556">
        <v>5199.8824</v>
      </c>
      <c r="M27" s="61">
        <f t="shared" si="0"/>
        <v>0.2579291139353459</v>
      </c>
      <c r="N27" s="485">
        <v>0.3</v>
      </c>
      <c r="O27" s="569">
        <v>1341.20106</v>
      </c>
      <c r="P27" s="611">
        <v>3203.8</v>
      </c>
      <c r="Q27" s="58">
        <f t="shared" si="42"/>
        <v>0.41862821025032776</v>
      </c>
      <c r="R27" s="557">
        <f t="shared" si="33"/>
        <v>0.930284911667395</v>
      </c>
      <c r="S27" s="569">
        <f>1341.20106-394.8676</f>
        <v>946.3334600000001</v>
      </c>
      <c r="T27" s="556"/>
      <c r="U27" s="569">
        <f>1382.12714-309.46328</f>
        <v>1072.66386</v>
      </c>
      <c r="V27" s="496">
        <f t="shared" si="14"/>
        <v>0.882227410924425</v>
      </c>
      <c r="W27" s="35">
        <f t="shared" si="15"/>
        <v>0</v>
      </c>
      <c r="X27" s="559">
        <v>475.1542</v>
      </c>
      <c r="Y27" s="559">
        <v>423.14914</v>
      </c>
      <c r="Z27" s="497">
        <f t="shared" si="34"/>
        <v>0.8905511936966989</v>
      </c>
      <c r="AA27" s="560">
        <f t="shared" si="16"/>
        <v>0.10944880630330112</v>
      </c>
      <c r="AB27" s="559">
        <v>423.14914</v>
      </c>
      <c r="AC27" s="561">
        <f>179.20703+394.8676+24.5147+615.80553+0.45</f>
        <v>1214.84486</v>
      </c>
      <c r="AD27" s="61">
        <f t="shared" si="35"/>
        <v>0.3483153725488866</v>
      </c>
      <c r="AE27" s="562">
        <f t="shared" si="17"/>
        <v>0.6516846274511134</v>
      </c>
      <c r="AF27" s="563">
        <v>4109.10891</v>
      </c>
      <c r="AG27" s="556">
        <v>5199.8824</v>
      </c>
      <c r="AH27" s="612">
        <v>68.516</v>
      </c>
      <c r="AI27" s="58">
        <f t="shared" si="36"/>
        <v>0.8007825966198787</v>
      </c>
      <c r="AJ27" s="565">
        <v>0.3</v>
      </c>
      <c r="AK27" s="567">
        <v>-134.36473</v>
      </c>
      <c r="AL27" s="567">
        <v>-3946.85656</v>
      </c>
      <c r="AM27" s="567">
        <v>-3812.5</v>
      </c>
      <c r="AN27" s="485">
        <v>1</v>
      </c>
      <c r="AO27" s="576">
        <v>2793.15</v>
      </c>
      <c r="AP27" s="582">
        <v>3152.8</v>
      </c>
      <c r="AQ27" s="433">
        <f t="shared" si="37"/>
        <v>0.8859267952296371</v>
      </c>
      <c r="AR27" s="395">
        <v>1</v>
      </c>
      <c r="AS27" s="432"/>
      <c r="AT27" s="615"/>
      <c r="AU27" s="553">
        <v>8729.69</v>
      </c>
      <c r="AV27" s="584">
        <v>4156.31</v>
      </c>
      <c r="AW27" s="433">
        <f t="shared" si="18"/>
        <v>0.47611198106691077</v>
      </c>
      <c r="AX27" s="586">
        <v>1</v>
      </c>
      <c r="AY27" s="576">
        <v>2538.96</v>
      </c>
      <c r="AZ27" s="588">
        <f t="shared" si="19"/>
        <v>90.89952204500295</v>
      </c>
      <c r="BA27" s="588">
        <f t="shared" si="20"/>
        <v>61.08687754282043</v>
      </c>
      <c r="BB27" s="589">
        <v>0.5</v>
      </c>
      <c r="BC27" s="589">
        <v>1</v>
      </c>
      <c r="BD27" s="593">
        <v>1565</v>
      </c>
      <c r="BE27" s="591">
        <f t="shared" si="21"/>
        <v>8729.69</v>
      </c>
      <c r="BF27" s="592">
        <f t="shared" si="22"/>
        <v>71.76458681815525</v>
      </c>
      <c r="BG27" s="586">
        <v>0.7</v>
      </c>
      <c r="BH27" s="589">
        <f>BE27*100/BE48</f>
        <v>1.135240148490003</v>
      </c>
      <c r="BI27" s="432">
        <f t="shared" si="1"/>
        <v>10.177756296654314</v>
      </c>
      <c r="BJ27" s="432">
        <f t="shared" si="2"/>
        <v>3.2564730248153135</v>
      </c>
      <c r="BK27" s="588">
        <v>284.28</v>
      </c>
      <c r="BL27" s="432">
        <f t="shared" si="23"/>
        <v>1565</v>
      </c>
      <c r="BM27" s="433">
        <f t="shared" si="24"/>
        <v>0.14358917302482763</v>
      </c>
      <c r="BN27" s="586">
        <v>0</v>
      </c>
      <c r="BO27" s="545">
        <v>5254.41</v>
      </c>
      <c r="BP27" s="545">
        <v>3568.08</v>
      </c>
      <c r="BQ27" s="432">
        <f t="shared" si="38"/>
        <v>67.9063872061754</v>
      </c>
      <c r="BR27" s="433">
        <f t="shared" si="39"/>
        <v>0.6790638720617539</v>
      </c>
      <c r="BS27" s="592">
        <v>0</v>
      </c>
      <c r="BT27" s="601">
        <f t="shared" si="25"/>
        <v>8729.69</v>
      </c>
      <c r="BU27" s="604">
        <v>1</v>
      </c>
      <c r="BV27" s="605">
        <v>1</v>
      </c>
      <c r="BW27" s="608">
        <v>64.70284211477436</v>
      </c>
      <c r="BX27" s="609">
        <v>0.3529715788522565</v>
      </c>
      <c r="BY27" s="620">
        <v>0</v>
      </c>
      <c r="BZ27" s="621">
        <f t="shared" si="40"/>
        <v>1</v>
      </c>
      <c r="CA27" s="630">
        <v>0</v>
      </c>
      <c r="CB27" s="42">
        <f t="shared" si="26"/>
        <v>1</v>
      </c>
      <c r="CC27" s="500">
        <v>0</v>
      </c>
      <c r="CD27" s="430">
        <f t="shared" si="27"/>
        <v>1</v>
      </c>
      <c r="CE27" s="395">
        <v>0</v>
      </c>
      <c r="CF27" s="395">
        <v>1</v>
      </c>
      <c r="CG27" s="395">
        <v>0</v>
      </c>
      <c r="CH27" s="432">
        <v>1</v>
      </c>
      <c r="CI27" s="395">
        <v>0</v>
      </c>
      <c r="CJ27" s="395">
        <v>1</v>
      </c>
      <c r="CK27" s="432">
        <v>0</v>
      </c>
      <c r="CL27" s="502">
        <v>1</v>
      </c>
      <c r="CM27" s="431">
        <f t="shared" si="28"/>
        <v>0</v>
      </c>
      <c r="CN27" s="504">
        <f t="shared" si="29"/>
        <v>1</v>
      </c>
      <c r="CO27" s="434">
        <v>0</v>
      </c>
      <c r="CP27" s="488">
        <f t="shared" si="3"/>
        <v>1</v>
      </c>
      <c r="CQ27" s="432">
        <v>0</v>
      </c>
      <c r="CR27" s="432">
        <f t="shared" si="4"/>
        <v>1</v>
      </c>
      <c r="CS27" s="395">
        <v>0</v>
      </c>
      <c r="CT27" s="432">
        <f t="shared" si="5"/>
        <v>1</v>
      </c>
      <c r="CU27" s="395">
        <v>0</v>
      </c>
      <c r="CV27" s="395">
        <f t="shared" si="6"/>
        <v>1</v>
      </c>
      <c r="CW27" s="481">
        <v>0</v>
      </c>
      <c r="CX27" s="432">
        <v>1</v>
      </c>
      <c r="CY27" s="620">
        <v>1</v>
      </c>
      <c r="CZ27" s="621">
        <f t="shared" si="41"/>
        <v>0.5</v>
      </c>
      <c r="DA27" s="644">
        <v>0</v>
      </c>
      <c r="DB27" s="482">
        <f t="shared" si="8"/>
        <v>1</v>
      </c>
      <c r="DC27" s="489"/>
      <c r="DD27" s="482">
        <f t="shared" si="9"/>
        <v>1</v>
      </c>
      <c r="DE27" s="502">
        <v>0</v>
      </c>
      <c r="DF27" s="430">
        <f t="shared" si="30"/>
        <v>1</v>
      </c>
      <c r="DG27" s="500">
        <v>0</v>
      </c>
      <c r="DH27" s="430">
        <f t="shared" si="31"/>
        <v>1</v>
      </c>
      <c r="DI27" s="434"/>
      <c r="DJ27" s="482">
        <f t="shared" si="10"/>
        <v>1</v>
      </c>
      <c r="DK27" s="395">
        <v>0</v>
      </c>
      <c r="DL27" s="432">
        <v>1</v>
      </c>
      <c r="DM27" s="575">
        <v>0</v>
      </c>
      <c r="DN27" s="574">
        <v>1</v>
      </c>
      <c r="DO27" s="395"/>
      <c r="DP27" s="516">
        <f t="shared" si="11"/>
        <v>1</v>
      </c>
      <c r="DQ27" s="633">
        <f>57+62+68+41</f>
        <v>228</v>
      </c>
      <c r="DR27" s="634">
        <f>1-DQ27/(289+207+228+152)*100/100</f>
        <v>0.7397260273972603</v>
      </c>
      <c r="DS27" s="395"/>
      <c r="DT27" s="490">
        <f t="shared" si="12"/>
        <v>1</v>
      </c>
      <c r="DU27" s="494"/>
      <c r="DV27" s="432">
        <v>1</v>
      </c>
      <c r="DW27" s="494"/>
      <c r="DX27" s="494"/>
      <c r="DY27" s="432">
        <v>1</v>
      </c>
      <c r="DZ27" s="494"/>
      <c r="EA27" s="494"/>
      <c r="EB27" s="432">
        <v>1</v>
      </c>
      <c r="EC27" s="494"/>
      <c r="ED27" s="494"/>
      <c r="EE27" s="432">
        <v>1</v>
      </c>
      <c r="EF27" s="494"/>
      <c r="EG27" s="494"/>
      <c r="EH27" s="432">
        <v>1</v>
      </c>
      <c r="EI27" s="494"/>
      <c r="EJ27" s="494"/>
      <c r="EK27" s="432">
        <v>1</v>
      </c>
      <c r="EL27" s="494"/>
      <c r="EM27" s="494"/>
      <c r="EN27" s="432"/>
      <c r="EO27" s="432"/>
      <c r="EP27" s="432"/>
      <c r="EQ27" s="432"/>
      <c r="ER27" s="432">
        <f t="shared" si="32"/>
        <v>18.58411595167133</v>
      </c>
      <c r="ES27" s="518">
        <v>20</v>
      </c>
      <c r="ET27" s="432" t="s">
        <v>117</v>
      </c>
      <c r="EV27" s="54">
        <v>20.3009034855816</v>
      </c>
      <c r="EW27" s="54">
        <v>17</v>
      </c>
      <c r="EX27" s="54">
        <v>1.552704073700215</v>
      </c>
      <c r="EY27" s="54" t="s">
        <v>116</v>
      </c>
      <c r="EZ27" s="441">
        <f t="shared" si="13"/>
        <v>228</v>
      </c>
      <c r="FB27" s="432"/>
    </row>
    <row r="28" spans="1:158" s="54" customFormat="1" ht="18.75">
      <c r="A28" s="479">
        <v>19</v>
      </c>
      <c r="B28" s="493" t="s">
        <v>136</v>
      </c>
      <c r="C28" s="626">
        <v>0</v>
      </c>
      <c r="D28" s="621">
        <v>1</v>
      </c>
      <c r="E28" s="481"/>
      <c r="F28" s="482">
        <v>1</v>
      </c>
      <c r="G28" s="508">
        <v>6930</v>
      </c>
      <c r="H28" s="506">
        <v>7751.723019999999</v>
      </c>
      <c r="I28" s="433">
        <f t="shared" si="43"/>
        <v>-0.11857475036075028</v>
      </c>
      <c r="J28" s="484">
        <v>0</v>
      </c>
      <c r="K28" s="569">
        <v>4895.01663</v>
      </c>
      <c r="L28" s="556">
        <v>5711.52526</v>
      </c>
      <c r="M28" s="61">
        <f t="shared" si="0"/>
        <v>0.857041929636848</v>
      </c>
      <c r="N28" s="485">
        <v>1</v>
      </c>
      <c r="O28" s="569">
        <v>4895.01663</v>
      </c>
      <c r="P28" s="611">
        <v>12699.03505</v>
      </c>
      <c r="Q28" s="58">
        <f t="shared" si="42"/>
        <v>0.38546366796585857</v>
      </c>
      <c r="R28" s="557">
        <f t="shared" si="33"/>
        <v>0.856585928813019</v>
      </c>
      <c r="S28" s="569">
        <f>4895.01663-675.59377</f>
        <v>4219.422860000001</v>
      </c>
      <c r="T28" s="556"/>
      <c r="U28" s="569">
        <f>3880.98838-567.34932</f>
        <v>3313.6390599999995</v>
      </c>
      <c r="V28" s="496">
        <f t="shared" si="14"/>
        <v>1.2733501698884493</v>
      </c>
      <c r="W28" s="35">
        <f t="shared" si="15"/>
        <v>1</v>
      </c>
      <c r="X28" s="559">
        <v>2969.62877</v>
      </c>
      <c r="Y28" s="559">
        <v>3831.23605</v>
      </c>
      <c r="Z28" s="497">
        <f t="shared" si="34"/>
        <v>1.2901397267915073</v>
      </c>
      <c r="AA28" s="560">
        <v>0</v>
      </c>
      <c r="AB28" s="559">
        <v>3831.23605</v>
      </c>
      <c r="AC28" s="561">
        <f>1139.15542+675.59377+543.15705+1928.01591+2.35</f>
        <v>4288.272150000001</v>
      </c>
      <c r="AD28" s="61">
        <f t="shared" si="35"/>
        <v>0.8934218529017566</v>
      </c>
      <c r="AE28" s="562">
        <f t="shared" si="17"/>
        <v>0.10657814709824343</v>
      </c>
      <c r="AF28" s="563">
        <v>816.50863</v>
      </c>
      <c r="AG28" s="556">
        <v>5711.52526</v>
      </c>
      <c r="AH28" s="612">
        <v>140.81035</v>
      </c>
      <c r="AI28" s="58">
        <f t="shared" si="36"/>
        <v>0.1465716058336218</v>
      </c>
      <c r="AJ28" s="565">
        <v>1</v>
      </c>
      <c r="AK28" s="571">
        <v>-1188.44295</v>
      </c>
      <c r="AL28" s="571">
        <v>-1490.79858</v>
      </c>
      <c r="AM28" s="567">
        <v>-302.4</v>
      </c>
      <c r="AN28" s="485">
        <v>1</v>
      </c>
      <c r="AO28" s="576">
        <v>3739.32</v>
      </c>
      <c r="AP28" s="582">
        <v>4424.6</v>
      </c>
      <c r="AQ28" s="433">
        <f t="shared" si="37"/>
        <v>0.8451204628666997</v>
      </c>
      <c r="AR28" s="395">
        <v>1</v>
      </c>
      <c r="AS28" s="432"/>
      <c r="AT28" s="615"/>
      <c r="AU28" s="553">
        <v>21076.02</v>
      </c>
      <c r="AV28" s="584">
        <v>7458.49</v>
      </c>
      <c r="AW28" s="433">
        <f t="shared" si="18"/>
        <v>0.353885126318916</v>
      </c>
      <c r="AX28" s="586">
        <v>1</v>
      </c>
      <c r="AY28" s="576">
        <v>3427.4</v>
      </c>
      <c r="AZ28" s="588">
        <f t="shared" si="19"/>
        <v>91.65837638929003</v>
      </c>
      <c r="BA28" s="588">
        <f t="shared" si="20"/>
        <v>45.953001210700826</v>
      </c>
      <c r="BB28" s="589">
        <v>0.5</v>
      </c>
      <c r="BC28" s="589">
        <v>1</v>
      </c>
      <c r="BD28" s="593">
        <v>3626</v>
      </c>
      <c r="BE28" s="591">
        <f t="shared" si="21"/>
        <v>21076.02</v>
      </c>
      <c r="BF28" s="592">
        <f t="shared" si="22"/>
        <v>74.78018085547625</v>
      </c>
      <c r="BG28" s="586">
        <v>0.7</v>
      </c>
      <c r="BH28" s="589">
        <f>BE28*100/BE64</f>
        <v>2.7408011137140345</v>
      </c>
      <c r="BI28" s="432">
        <f t="shared" si="1"/>
        <v>15.799664110052092</v>
      </c>
      <c r="BJ28" s="432">
        <f t="shared" si="2"/>
        <v>2.8031858007346733</v>
      </c>
      <c r="BK28" s="588">
        <v>590.8</v>
      </c>
      <c r="BL28" s="432">
        <f t="shared" si="23"/>
        <v>3626</v>
      </c>
      <c r="BM28" s="433">
        <f t="shared" si="24"/>
        <v>0.128796012117026</v>
      </c>
      <c r="BN28" s="586">
        <v>0</v>
      </c>
      <c r="BO28" s="546">
        <v>6848.7</v>
      </c>
      <c r="BP28" s="546">
        <v>933.33</v>
      </c>
      <c r="BQ28" s="432">
        <f t="shared" si="38"/>
        <v>13.627841780191863</v>
      </c>
      <c r="BR28" s="433">
        <f t="shared" si="39"/>
        <v>0.13627841780191863</v>
      </c>
      <c r="BS28" s="592">
        <v>0</v>
      </c>
      <c r="BT28" s="601">
        <f t="shared" si="25"/>
        <v>21076.02</v>
      </c>
      <c r="BU28" s="604">
        <v>1</v>
      </c>
      <c r="BV28" s="605">
        <v>1</v>
      </c>
      <c r="BW28" s="608">
        <v>4.879657683853063</v>
      </c>
      <c r="BX28" s="609">
        <v>0.9512034231614693</v>
      </c>
      <c r="BY28" s="620">
        <v>0</v>
      </c>
      <c r="BZ28" s="621">
        <f t="shared" si="40"/>
        <v>1</v>
      </c>
      <c r="CA28" s="630">
        <v>0</v>
      </c>
      <c r="CB28" s="42">
        <f t="shared" si="26"/>
        <v>1</v>
      </c>
      <c r="CC28" s="500">
        <v>0</v>
      </c>
      <c r="CD28" s="430">
        <f t="shared" si="27"/>
        <v>1</v>
      </c>
      <c r="CE28" s="395">
        <v>0</v>
      </c>
      <c r="CF28" s="395">
        <v>1</v>
      </c>
      <c r="CG28" s="395">
        <v>0</v>
      </c>
      <c r="CH28" s="432">
        <v>1</v>
      </c>
      <c r="CI28" s="395">
        <v>0</v>
      </c>
      <c r="CJ28" s="395">
        <v>1</v>
      </c>
      <c r="CK28" s="432">
        <v>0</v>
      </c>
      <c r="CL28" s="502">
        <v>1</v>
      </c>
      <c r="CM28" s="431">
        <f t="shared" si="28"/>
        <v>0</v>
      </c>
      <c r="CN28" s="504">
        <f t="shared" si="29"/>
        <v>1</v>
      </c>
      <c r="CO28" s="434">
        <v>0</v>
      </c>
      <c r="CP28" s="488">
        <f t="shared" si="3"/>
        <v>1</v>
      </c>
      <c r="CQ28" s="432">
        <v>0</v>
      </c>
      <c r="CR28" s="432">
        <f t="shared" si="4"/>
        <v>1</v>
      </c>
      <c r="CS28" s="395">
        <v>0</v>
      </c>
      <c r="CT28" s="482">
        <f t="shared" si="5"/>
        <v>1</v>
      </c>
      <c r="CU28" s="395">
        <v>0</v>
      </c>
      <c r="CV28" s="486">
        <f t="shared" si="6"/>
        <v>1</v>
      </c>
      <c r="CW28" s="481">
        <v>0</v>
      </c>
      <c r="CX28" s="482">
        <f aca="true" t="shared" si="44" ref="CX28:CX33">1-CW28/5</f>
        <v>1</v>
      </c>
      <c r="CY28" s="620">
        <v>0</v>
      </c>
      <c r="CZ28" s="621">
        <f t="shared" si="41"/>
        <v>1</v>
      </c>
      <c r="DA28" s="643">
        <v>0</v>
      </c>
      <c r="DB28" s="482">
        <f t="shared" si="8"/>
        <v>1</v>
      </c>
      <c r="DC28" s="489"/>
      <c r="DD28" s="482">
        <f t="shared" si="9"/>
        <v>1</v>
      </c>
      <c r="DE28" s="502">
        <v>0</v>
      </c>
      <c r="DF28" s="430">
        <f t="shared" si="30"/>
        <v>1</v>
      </c>
      <c r="DG28" s="500">
        <v>1</v>
      </c>
      <c r="DH28" s="430">
        <f t="shared" si="31"/>
        <v>0.8333333333333334</v>
      </c>
      <c r="DI28" s="434"/>
      <c r="DJ28" s="482">
        <f t="shared" si="10"/>
        <v>1</v>
      </c>
      <c r="DK28" s="395">
        <v>0</v>
      </c>
      <c r="DL28" s="432">
        <v>1</v>
      </c>
      <c r="DM28" s="575">
        <v>0</v>
      </c>
      <c r="DN28" s="574">
        <v>1</v>
      </c>
      <c r="DO28" s="395"/>
      <c r="DP28" s="516">
        <f t="shared" si="11"/>
        <v>1</v>
      </c>
      <c r="DQ28" s="633">
        <f>32+38+32+19</f>
        <v>121</v>
      </c>
      <c r="DR28" s="634">
        <f>1-DQ28/(458+385+423+282)*100/100</f>
        <v>0.9218346253229974</v>
      </c>
      <c r="DS28" s="395"/>
      <c r="DT28" s="490">
        <f t="shared" si="12"/>
        <v>1</v>
      </c>
      <c r="DU28" s="491"/>
      <c r="DV28" s="482">
        <v>1</v>
      </c>
      <c r="DW28" s="491"/>
      <c r="DX28" s="491"/>
      <c r="DY28" s="482">
        <v>0</v>
      </c>
      <c r="DZ28" s="491"/>
      <c r="EA28" s="491"/>
      <c r="EB28" s="482">
        <v>0</v>
      </c>
      <c r="EC28" s="491"/>
      <c r="ED28" s="491"/>
      <c r="EE28" s="482">
        <v>1</v>
      </c>
      <c r="EF28" s="491"/>
      <c r="EG28" s="491"/>
      <c r="EH28" s="482">
        <v>1</v>
      </c>
      <c r="EI28" s="491"/>
      <c r="EJ28" s="491"/>
      <c r="EK28" s="482">
        <v>1</v>
      </c>
      <c r="EL28" s="491"/>
      <c r="EM28" s="491"/>
      <c r="EN28" s="482"/>
      <c r="EO28" s="432"/>
      <c r="EP28" s="432"/>
      <c r="EQ28" s="482"/>
      <c r="ER28" s="432">
        <f t="shared" si="32"/>
        <v>19.03620212439573</v>
      </c>
      <c r="ES28" s="518">
        <v>18</v>
      </c>
      <c r="ET28" s="432" t="s">
        <v>117</v>
      </c>
      <c r="EU28" s="80"/>
      <c r="EV28" s="54">
        <v>22.28579767269808</v>
      </c>
      <c r="EW28" s="54">
        <v>7</v>
      </c>
      <c r="EX28" s="54">
        <v>1.552704073700215</v>
      </c>
      <c r="EY28" s="54" t="s">
        <v>117</v>
      </c>
      <c r="EZ28" s="441">
        <f t="shared" si="13"/>
        <v>121</v>
      </c>
      <c r="FB28" s="432"/>
    </row>
    <row r="29" spans="1:158" s="54" customFormat="1" ht="18.75">
      <c r="A29" s="479">
        <v>20</v>
      </c>
      <c r="B29" s="493" t="s">
        <v>137</v>
      </c>
      <c r="C29" s="626">
        <v>0</v>
      </c>
      <c r="D29" s="621">
        <v>1</v>
      </c>
      <c r="E29" s="481"/>
      <c r="F29" s="482">
        <v>1</v>
      </c>
      <c r="G29" s="508">
        <v>2647</v>
      </c>
      <c r="H29" s="506">
        <v>4644.663270000001</v>
      </c>
      <c r="I29" s="433">
        <f t="shared" si="43"/>
        <v>-0.7546895617680396</v>
      </c>
      <c r="J29" s="484">
        <v>0</v>
      </c>
      <c r="K29" s="569">
        <v>2605.42657</v>
      </c>
      <c r="L29" s="556">
        <v>6722.05622</v>
      </c>
      <c r="M29" s="61">
        <f t="shared" si="0"/>
        <v>0.387593689301218</v>
      </c>
      <c r="N29" s="485">
        <v>0.5</v>
      </c>
      <c r="O29" s="569">
        <v>2605.42657</v>
      </c>
      <c r="P29" s="611">
        <v>5714.05093</v>
      </c>
      <c r="Q29" s="58">
        <f t="shared" si="42"/>
        <v>0.4559683842369952</v>
      </c>
      <c r="R29" s="557">
        <v>1</v>
      </c>
      <c r="S29" s="569">
        <f>2605.42657-478.15998</f>
        <v>2127.26659</v>
      </c>
      <c r="T29" s="556"/>
      <c r="U29" s="569">
        <f>1654.11598-402.30227</f>
        <v>1251.81371</v>
      </c>
      <c r="V29" s="496">
        <f t="shared" si="14"/>
        <v>1.6993475730506262</v>
      </c>
      <c r="W29" s="35">
        <f t="shared" si="15"/>
        <v>1</v>
      </c>
      <c r="X29" s="559">
        <v>952.83728</v>
      </c>
      <c r="Y29" s="559">
        <v>856.5823</v>
      </c>
      <c r="Z29" s="497">
        <f t="shared" si="34"/>
        <v>0.8989806738040309</v>
      </c>
      <c r="AA29" s="560">
        <f t="shared" si="16"/>
        <v>0.1010193261959691</v>
      </c>
      <c r="AB29" s="559">
        <v>856.5823</v>
      </c>
      <c r="AC29" s="561">
        <f>208.69324+478.15998+269.0503+12.55</f>
        <v>968.4535199999999</v>
      </c>
      <c r="AD29" s="61">
        <f>AB29/AC29*100%</f>
        <v>0.8844846782115058</v>
      </c>
      <c r="AE29" s="562">
        <f t="shared" si="17"/>
        <v>0.11551532178849422</v>
      </c>
      <c r="AF29" s="563">
        <v>4106.19965</v>
      </c>
      <c r="AG29" s="556">
        <v>6722.05622</v>
      </c>
      <c r="AH29" s="612">
        <v>108.638</v>
      </c>
      <c r="AI29" s="58">
        <f t="shared" si="36"/>
        <v>0.6208891549580542</v>
      </c>
      <c r="AJ29" s="565">
        <v>0.5</v>
      </c>
      <c r="AK29" s="571">
        <v>-66.2601</v>
      </c>
      <c r="AL29" s="571">
        <v>-380.67168</v>
      </c>
      <c r="AM29" s="567">
        <v>-314.4</v>
      </c>
      <c r="AN29" s="485">
        <v>1</v>
      </c>
      <c r="AO29" s="576">
        <v>3248.6</v>
      </c>
      <c r="AP29" s="582">
        <v>3664.9</v>
      </c>
      <c r="AQ29" s="433">
        <f t="shared" si="37"/>
        <v>0.8864089061093071</v>
      </c>
      <c r="AR29" s="395">
        <v>1</v>
      </c>
      <c r="AS29" s="432"/>
      <c r="AT29" s="615"/>
      <c r="AU29" s="553">
        <v>11622.17</v>
      </c>
      <c r="AV29" s="584">
        <v>5671.5</v>
      </c>
      <c r="AW29" s="433">
        <f t="shared" si="18"/>
        <v>0.4879897643899547</v>
      </c>
      <c r="AX29" s="586">
        <v>1</v>
      </c>
      <c r="AY29" s="576">
        <v>2929.55</v>
      </c>
      <c r="AZ29" s="588">
        <f t="shared" si="19"/>
        <v>90.17884627224035</v>
      </c>
      <c r="BA29" s="588">
        <f t="shared" si="20"/>
        <v>51.65388345234947</v>
      </c>
      <c r="BB29" s="589">
        <v>0.5</v>
      </c>
      <c r="BC29" s="589">
        <v>1</v>
      </c>
      <c r="BD29" s="593">
        <v>2485</v>
      </c>
      <c r="BE29" s="591">
        <f t="shared" si="21"/>
        <v>11622.17</v>
      </c>
      <c r="BF29" s="592">
        <f t="shared" si="22"/>
        <v>60.17090443902807</v>
      </c>
      <c r="BG29" s="586">
        <v>0</v>
      </c>
      <c r="BH29" s="589">
        <f>BE29*100/BE18</f>
        <v>14.645986161245133</v>
      </c>
      <c r="BI29" s="432">
        <f t="shared" si="1"/>
        <v>78.80502370251801</v>
      </c>
      <c r="BJ29" s="432">
        <f t="shared" si="2"/>
        <v>22.027383870654102</v>
      </c>
      <c r="BK29" s="588">
        <v>2560.06</v>
      </c>
      <c r="BL29" s="432">
        <f t="shared" si="23"/>
        <v>2485</v>
      </c>
      <c r="BM29" s="433">
        <f t="shared" si="24"/>
        <v>0.8143544619766105</v>
      </c>
      <c r="BN29" s="586">
        <v>0</v>
      </c>
      <c r="BO29" s="547">
        <v>5614.46</v>
      </c>
      <c r="BP29" s="547">
        <v>3538.91</v>
      </c>
      <c r="BQ29" s="432">
        <f t="shared" si="38"/>
        <v>63.03206363568356</v>
      </c>
      <c r="BR29" s="433">
        <f t="shared" si="39"/>
        <v>0.6303206363568357</v>
      </c>
      <c r="BS29" s="592">
        <v>0</v>
      </c>
      <c r="BT29" s="601">
        <f t="shared" si="25"/>
        <v>11622.17</v>
      </c>
      <c r="BU29" s="604">
        <v>1</v>
      </c>
      <c r="BV29" s="605">
        <v>1</v>
      </c>
      <c r="BW29" s="608">
        <v>0</v>
      </c>
      <c r="BX29" s="609">
        <v>1</v>
      </c>
      <c r="BY29" s="620">
        <v>0</v>
      </c>
      <c r="BZ29" s="621">
        <f t="shared" si="40"/>
        <v>1</v>
      </c>
      <c r="CA29" s="630">
        <v>0</v>
      </c>
      <c r="CB29" s="42">
        <f t="shared" si="26"/>
        <v>1</v>
      </c>
      <c r="CC29" s="500">
        <v>0</v>
      </c>
      <c r="CD29" s="430">
        <f t="shared" si="27"/>
        <v>1</v>
      </c>
      <c r="CE29" s="395">
        <v>0</v>
      </c>
      <c r="CF29" s="395">
        <v>1</v>
      </c>
      <c r="CG29" s="395">
        <v>0</v>
      </c>
      <c r="CH29" s="432">
        <v>1</v>
      </c>
      <c r="CI29" s="395">
        <v>0</v>
      </c>
      <c r="CJ29" s="395">
        <v>1</v>
      </c>
      <c r="CK29" s="432">
        <v>0</v>
      </c>
      <c r="CL29" s="502">
        <v>1</v>
      </c>
      <c r="CM29" s="431">
        <f t="shared" si="28"/>
        <v>0</v>
      </c>
      <c r="CN29" s="504">
        <f t="shared" si="29"/>
        <v>1</v>
      </c>
      <c r="CO29" s="434">
        <v>0</v>
      </c>
      <c r="CP29" s="488">
        <f t="shared" si="3"/>
        <v>1</v>
      </c>
      <c r="CQ29" s="432">
        <v>0</v>
      </c>
      <c r="CR29" s="432">
        <f t="shared" si="4"/>
        <v>1</v>
      </c>
      <c r="CS29" s="395">
        <v>0</v>
      </c>
      <c r="CT29" s="482">
        <f t="shared" si="5"/>
        <v>1</v>
      </c>
      <c r="CU29" s="395">
        <v>0</v>
      </c>
      <c r="CV29" s="486">
        <f t="shared" si="6"/>
        <v>1</v>
      </c>
      <c r="CW29" s="481">
        <v>0</v>
      </c>
      <c r="CX29" s="482">
        <f t="shared" si="44"/>
        <v>1</v>
      </c>
      <c r="CY29" s="620">
        <v>0</v>
      </c>
      <c r="CZ29" s="621">
        <f t="shared" si="41"/>
        <v>1</v>
      </c>
      <c r="DA29" s="643">
        <v>0</v>
      </c>
      <c r="DB29" s="482">
        <f t="shared" si="8"/>
        <v>1</v>
      </c>
      <c r="DC29" s="489"/>
      <c r="DD29" s="482">
        <f t="shared" si="9"/>
        <v>1</v>
      </c>
      <c r="DE29" s="502">
        <v>1</v>
      </c>
      <c r="DF29" s="430">
        <f t="shared" si="30"/>
        <v>0.5</v>
      </c>
      <c r="DG29" s="500">
        <v>0</v>
      </c>
      <c r="DH29" s="430">
        <f t="shared" si="31"/>
        <v>1</v>
      </c>
      <c r="DI29" s="434"/>
      <c r="DJ29" s="482">
        <f t="shared" si="10"/>
        <v>1</v>
      </c>
      <c r="DK29" s="395">
        <v>0</v>
      </c>
      <c r="DL29" s="432">
        <v>1</v>
      </c>
      <c r="DM29" s="575">
        <v>0</v>
      </c>
      <c r="DN29" s="574">
        <v>1</v>
      </c>
      <c r="DO29" s="395"/>
      <c r="DP29" s="516">
        <f t="shared" si="11"/>
        <v>1</v>
      </c>
      <c r="DQ29" s="633">
        <f>28+10+21+14</f>
        <v>73</v>
      </c>
      <c r="DR29" s="634">
        <f>1-DQ29/(371+307+338+225)*100/100</f>
        <v>0.9411764705882353</v>
      </c>
      <c r="DS29" s="395"/>
      <c r="DT29" s="490">
        <f t="shared" si="12"/>
        <v>1</v>
      </c>
      <c r="DU29" s="491"/>
      <c r="DV29" s="482">
        <v>1</v>
      </c>
      <c r="DW29" s="491">
        <v>1</v>
      </c>
      <c r="DX29" s="491"/>
      <c r="DY29" s="482">
        <v>1</v>
      </c>
      <c r="DZ29" s="491"/>
      <c r="EA29" s="491"/>
      <c r="EB29" s="482">
        <v>1</v>
      </c>
      <c r="EC29" s="491"/>
      <c r="ED29" s="491"/>
      <c r="EE29" s="482">
        <v>1</v>
      </c>
      <c r="EF29" s="491"/>
      <c r="EG29" s="491"/>
      <c r="EH29" s="482">
        <v>1</v>
      </c>
      <c r="EI29" s="491"/>
      <c r="EJ29" s="491"/>
      <c r="EK29" s="482">
        <v>1</v>
      </c>
      <c r="EL29" s="491"/>
      <c r="EM29" s="491"/>
      <c r="EN29" s="482"/>
      <c r="EO29" s="432"/>
      <c r="EP29" s="432"/>
      <c r="EQ29" s="482"/>
      <c r="ER29" s="432">
        <f t="shared" si="32"/>
        <v>19.6577111185727</v>
      </c>
      <c r="ES29" s="518">
        <v>14</v>
      </c>
      <c r="ET29" s="432" t="s">
        <v>117</v>
      </c>
      <c r="EV29" s="54">
        <v>20.75320703499068</v>
      </c>
      <c r="EW29" s="54">
        <v>22</v>
      </c>
      <c r="EX29" s="54">
        <v>1.552704073700215</v>
      </c>
      <c r="EY29" s="54" t="s">
        <v>116</v>
      </c>
      <c r="EZ29" s="441">
        <f t="shared" si="13"/>
        <v>73</v>
      </c>
      <c r="FB29" s="432"/>
    </row>
    <row r="30" spans="1:158" s="54" customFormat="1" ht="23.25" customHeight="1">
      <c r="A30" s="479">
        <v>21</v>
      </c>
      <c r="B30" s="493" t="s">
        <v>138</v>
      </c>
      <c r="C30" s="626">
        <v>0</v>
      </c>
      <c r="D30" s="621">
        <v>1</v>
      </c>
      <c r="E30" s="481"/>
      <c r="F30" s="482">
        <v>1</v>
      </c>
      <c r="G30" s="508">
        <v>4700.24384</v>
      </c>
      <c r="H30" s="506">
        <v>5774.73067</v>
      </c>
      <c r="I30" s="433">
        <f t="shared" si="43"/>
        <v>-0.22860235906399268</v>
      </c>
      <c r="J30" s="484">
        <v>0</v>
      </c>
      <c r="K30" s="569">
        <v>3967.21094</v>
      </c>
      <c r="L30" s="556">
        <v>32133.91771</v>
      </c>
      <c r="M30" s="61">
        <f t="shared" si="0"/>
        <v>0.12345867615032241</v>
      </c>
      <c r="N30" s="485">
        <v>0.3</v>
      </c>
      <c r="O30" s="569">
        <v>3967.21094</v>
      </c>
      <c r="P30" s="611">
        <v>9157.82456</v>
      </c>
      <c r="Q30" s="58">
        <f t="shared" si="42"/>
        <v>0.43320451423891443</v>
      </c>
      <c r="R30" s="557">
        <f t="shared" si="33"/>
        <v>0.9626766983086987</v>
      </c>
      <c r="S30" s="569">
        <f>3967.21094-913.13132</f>
        <v>3054.07962</v>
      </c>
      <c r="T30" s="556"/>
      <c r="U30" s="569">
        <f>4603.63524-768.50044</f>
        <v>3835.1348</v>
      </c>
      <c r="V30" s="496">
        <f t="shared" si="14"/>
        <v>0.7963421833308181</v>
      </c>
      <c r="W30" s="35">
        <f t="shared" si="15"/>
        <v>0</v>
      </c>
      <c r="X30" s="559">
        <v>1140.24367</v>
      </c>
      <c r="Y30" s="559">
        <v>1129.6994</v>
      </c>
      <c r="Z30" s="497">
        <f t="shared" si="34"/>
        <v>0.9907526169384478</v>
      </c>
      <c r="AA30" s="560">
        <f t="shared" si="16"/>
        <v>0.00924738306155215</v>
      </c>
      <c r="AB30" s="559">
        <v>1129.6994</v>
      </c>
      <c r="AC30" s="561">
        <f>2148.79685+913.13132+599.90306</f>
        <v>3661.8312300000002</v>
      </c>
      <c r="AD30" s="61">
        <f t="shared" si="35"/>
        <v>0.3085066812322751</v>
      </c>
      <c r="AE30" s="562">
        <f t="shared" si="17"/>
        <v>0.6914933187677249</v>
      </c>
      <c r="AF30" s="563">
        <v>25268.30677</v>
      </c>
      <c r="AG30" s="556">
        <v>32133.91771</v>
      </c>
      <c r="AH30" s="612">
        <v>206.04527</v>
      </c>
      <c r="AI30" s="58">
        <f t="shared" si="36"/>
        <v>0.791418432828091</v>
      </c>
      <c r="AJ30" s="565">
        <v>0.3</v>
      </c>
      <c r="AK30" s="571">
        <v>-2430.66085</v>
      </c>
      <c r="AL30" s="571">
        <v>-2614.84</v>
      </c>
      <c r="AM30" s="567">
        <v>-184.1</v>
      </c>
      <c r="AN30" s="485">
        <v>1</v>
      </c>
      <c r="AO30" s="576">
        <v>4138.75</v>
      </c>
      <c r="AP30" s="582">
        <v>4750.6</v>
      </c>
      <c r="AQ30" s="433">
        <f t="shared" si="37"/>
        <v>0.8712057424325348</v>
      </c>
      <c r="AR30" s="395">
        <v>1</v>
      </c>
      <c r="AS30" s="432"/>
      <c r="AT30" s="615"/>
      <c r="AU30" s="553">
        <v>83524.49</v>
      </c>
      <c r="AV30" s="584">
        <v>10610.97</v>
      </c>
      <c r="AW30" s="433">
        <f t="shared" si="18"/>
        <v>0.12704022496874867</v>
      </c>
      <c r="AX30" s="586">
        <v>1</v>
      </c>
      <c r="AY30" s="576">
        <v>4111.45</v>
      </c>
      <c r="AZ30" s="588">
        <f t="shared" si="19"/>
        <v>99.34038054968288</v>
      </c>
      <c r="BA30" s="588">
        <f t="shared" si="20"/>
        <v>38.747164491088</v>
      </c>
      <c r="BB30" s="589">
        <v>0.5</v>
      </c>
      <c r="BC30" s="589">
        <v>1</v>
      </c>
      <c r="BD30" s="593">
        <v>5174</v>
      </c>
      <c r="BE30" s="591">
        <f t="shared" si="21"/>
        <v>83524.49</v>
      </c>
      <c r="BF30" s="592">
        <f t="shared" si="22"/>
        <v>207.6888191262136</v>
      </c>
      <c r="BG30" s="586">
        <v>1</v>
      </c>
      <c r="BH30" s="589">
        <f>BE30*100/BE59</f>
        <v>10.86182377955595</v>
      </c>
      <c r="BI30" s="432">
        <f t="shared" si="1"/>
        <v>1564.687163998792</v>
      </c>
      <c r="BJ30" s="432">
        <f t="shared" si="2"/>
        <v>77.53233812023275</v>
      </c>
      <c r="BK30" s="588">
        <v>64758.49</v>
      </c>
      <c r="BL30" s="432">
        <f t="shared" si="23"/>
        <v>5174</v>
      </c>
      <c r="BM30" s="433">
        <f t="shared" si="24"/>
        <v>9.893729186602716</v>
      </c>
      <c r="BN30" s="586">
        <v>1</v>
      </c>
      <c r="BO30" s="548">
        <v>68730.42</v>
      </c>
      <c r="BP30" s="548">
        <v>24153.79</v>
      </c>
      <c r="BQ30" s="432">
        <f t="shared" si="38"/>
        <v>35.14279412231149</v>
      </c>
      <c r="BR30" s="433">
        <f t="shared" si="39"/>
        <v>0.35142794122311494</v>
      </c>
      <c r="BS30" s="592">
        <v>0</v>
      </c>
      <c r="BT30" s="601">
        <f t="shared" si="25"/>
        <v>83524.49</v>
      </c>
      <c r="BU30" s="604">
        <v>1</v>
      </c>
      <c r="BV30" s="605">
        <v>1</v>
      </c>
      <c r="BW30" s="608">
        <v>0</v>
      </c>
      <c r="BX30" s="609">
        <v>1</v>
      </c>
      <c r="BY30" s="620">
        <v>0</v>
      </c>
      <c r="BZ30" s="621">
        <f t="shared" si="40"/>
        <v>1</v>
      </c>
      <c r="CA30" s="630" t="s">
        <v>184</v>
      </c>
      <c r="CB30" s="36" t="s">
        <v>184</v>
      </c>
      <c r="CC30" s="500">
        <v>0</v>
      </c>
      <c r="CD30" s="430">
        <f t="shared" si="27"/>
        <v>1</v>
      </c>
      <c r="CE30" s="395">
        <v>0</v>
      </c>
      <c r="CF30" s="395">
        <v>1</v>
      </c>
      <c r="CG30" s="395">
        <v>0</v>
      </c>
      <c r="CH30" s="432">
        <v>1</v>
      </c>
      <c r="CI30" s="395">
        <v>0</v>
      </c>
      <c r="CJ30" s="395">
        <v>1</v>
      </c>
      <c r="CK30" s="432">
        <v>0</v>
      </c>
      <c r="CL30" s="502">
        <v>1</v>
      </c>
      <c r="CM30" s="431">
        <f>BY30+CC30+CE30+CG30+CI30+CK30</f>
        <v>0</v>
      </c>
      <c r="CN30" s="504">
        <f t="shared" si="29"/>
        <v>1</v>
      </c>
      <c r="CO30" s="434">
        <v>0</v>
      </c>
      <c r="CP30" s="488">
        <f t="shared" si="3"/>
        <v>1</v>
      </c>
      <c r="CQ30" s="432">
        <v>0</v>
      </c>
      <c r="CR30" s="432">
        <f t="shared" si="4"/>
        <v>1</v>
      </c>
      <c r="CS30" s="395">
        <v>0</v>
      </c>
      <c r="CT30" s="482">
        <f t="shared" si="5"/>
        <v>1</v>
      </c>
      <c r="CU30" s="395">
        <v>0</v>
      </c>
      <c r="CV30" s="486">
        <f t="shared" si="6"/>
        <v>1</v>
      </c>
      <c r="CW30" s="481">
        <v>0</v>
      </c>
      <c r="CX30" s="482">
        <f t="shared" si="44"/>
        <v>1</v>
      </c>
      <c r="CY30" s="620">
        <v>0</v>
      </c>
      <c r="CZ30" s="621">
        <f t="shared" si="41"/>
        <v>1</v>
      </c>
      <c r="DA30" s="643">
        <v>0</v>
      </c>
      <c r="DB30" s="482">
        <f t="shared" si="8"/>
        <v>1</v>
      </c>
      <c r="DC30" s="489"/>
      <c r="DD30" s="482">
        <f t="shared" si="9"/>
        <v>1</v>
      </c>
      <c r="DE30" s="502">
        <v>0</v>
      </c>
      <c r="DF30" s="430">
        <f t="shared" si="30"/>
        <v>1</v>
      </c>
      <c r="DG30" s="500">
        <f>3+1+1+1</f>
        <v>6</v>
      </c>
      <c r="DH30" s="430">
        <f t="shared" si="31"/>
        <v>0</v>
      </c>
      <c r="DI30" s="434"/>
      <c r="DJ30" s="482">
        <f t="shared" si="10"/>
        <v>1</v>
      </c>
      <c r="DK30" s="395">
        <v>0</v>
      </c>
      <c r="DL30" s="432">
        <v>1</v>
      </c>
      <c r="DM30" s="575">
        <v>0</v>
      </c>
      <c r="DN30" s="574">
        <v>1</v>
      </c>
      <c r="DO30" s="395"/>
      <c r="DP30" s="516">
        <f t="shared" si="11"/>
        <v>1</v>
      </c>
      <c r="DQ30" s="633">
        <f>61+57+47+30</f>
        <v>195</v>
      </c>
      <c r="DR30" s="634">
        <f>1-DQ30/(618+575+632+421)*100/100</f>
        <v>0.9131789848619769</v>
      </c>
      <c r="DS30" s="395"/>
      <c r="DT30" s="490">
        <f t="shared" si="12"/>
        <v>1</v>
      </c>
      <c r="DU30" s="491"/>
      <c r="DV30" s="482">
        <v>1</v>
      </c>
      <c r="DW30" s="491"/>
      <c r="DX30" s="491"/>
      <c r="DY30" s="482">
        <v>1</v>
      </c>
      <c r="DZ30" s="491"/>
      <c r="EA30" s="491"/>
      <c r="EB30" s="482">
        <v>1</v>
      </c>
      <c r="EC30" s="491"/>
      <c r="ED30" s="491"/>
      <c r="EE30" s="482">
        <v>1</v>
      </c>
      <c r="EF30" s="491"/>
      <c r="EG30" s="491"/>
      <c r="EH30" s="482">
        <v>1</v>
      </c>
      <c r="EI30" s="491"/>
      <c r="EJ30" s="491"/>
      <c r="EK30" s="482">
        <v>1</v>
      </c>
      <c r="EL30" s="491"/>
      <c r="EM30" s="491"/>
      <c r="EN30" s="482"/>
      <c r="EO30" s="432"/>
      <c r="EP30" s="432"/>
      <c r="EQ30" s="482"/>
      <c r="ER30" s="432">
        <f t="shared" si="32"/>
        <v>20.67659638499995</v>
      </c>
      <c r="ES30" s="518">
        <v>8</v>
      </c>
      <c r="ET30" s="432" t="s">
        <v>117</v>
      </c>
      <c r="EU30" s="80"/>
      <c r="EV30" s="54">
        <v>19.83964054628982</v>
      </c>
      <c r="EW30" s="54">
        <v>23</v>
      </c>
      <c r="EX30" s="54">
        <v>1.552704073700215</v>
      </c>
      <c r="EY30" s="54" t="s">
        <v>116</v>
      </c>
      <c r="EZ30" s="441">
        <f t="shared" si="13"/>
        <v>195</v>
      </c>
      <c r="FB30" s="432"/>
    </row>
    <row r="31" spans="1:158" s="322" customFormat="1" ht="18.75">
      <c r="A31" s="479">
        <v>22</v>
      </c>
      <c r="B31" s="493" t="s">
        <v>139</v>
      </c>
      <c r="C31" s="626">
        <v>0</v>
      </c>
      <c r="D31" s="621">
        <v>1</v>
      </c>
      <c r="E31" s="481"/>
      <c r="F31" s="482">
        <v>1</v>
      </c>
      <c r="G31" s="508">
        <v>5053.1</v>
      </c>
      <c r="H31" s="506">
        <v>6835.41324</v>
      </c>
      <c r="I31" s="433">
        <f t="shared" si="43"/>
        <v>-0.352716795630405</v>
      </c>
      <c r="J31" s="484">
        <v>0</v>
      </c>
      <c r="K31" s="569">
        <v>10278.53531</v>
      </c>
      <c r="L31" s="556">
        <v>11035.71379</v>
      </c>
      <c r="M31" s="61">
        <f t="shared" si="0"/>
        <v>0.9313883547173798</v>
      </c>
      <c r="N31" s="485">
        <v>1</v>
      </c>
      <c r="O31" s="569">
        <v>10278.53531</v>
      </c>
      <c r="P31" s="611">
        <v>19013.39</v>
      </c>
      <c r="Q31" s="58">
        <f t="shared" si="42"/>
        <v>0.540594565724471</v>
      </c>
      <c r="R31" s="557">
        <v>1</v>
      </c>
      <c r="S31" s="569">
        <f>10278.53531-774.31067</f>
        <v>9504.224639999999</v>
      </c>
      <c r="T31" s="556"/>
      <c r="U31" s="569">
        <f>7342.54186-652.45173</f>
        <v>6690.0901300000005</v>
      </c>
      <c r="V31" s="496">
        <f>S31/U31*100%</f>
        <v>1.4206422417809785</v>
      </c>
      <c r="W31" s="35">
        <f t="shared" si="15"/>
        <v>1</v>
      </c>
      <c r="X31" s="559">
        <v>93664.80205</v>
      </c>
      <c r="Y31" s="559">
        <v>94644.01585</v>
      </c>
      <c r="Z31" s="497">
        <f>Y31/X31*100%</f>
        <v>1.0104544479737145</v>
      </c>
      <c r="AA31" s="560">
        <v>0</v>
      </c>
      <c r="AB31" s="559">
        <v>94644.01585</v>
      </c>
      <c r="AC31" s="561">
        <f>721.31616+774.31067+74.4185+8047.3313+2.7</f>
        <v>9620.07663</v>
      </c>
      <c r="AD31" s="61">
        <f t="shared" si="35"/>
        <v>9.838176917931682</v>
      </c>
      <c r="AE31" s="562">
        <v>0</v>
      </c>
      <c r="AF31" s="563">
        <v>758.18398</v>
      </c>
      <c r="AG31" s="556">
        <v>11035.71379</v>
      </c>
      <c r="AH31" s="612">
        <v>346.064</v>
      </c>
      <c r="AI31" s="58">
        <f t="shared" si="36"/>
        <v>0.07092692416446321</v>
      </c>
      <c r="AJ31" s="565">
        <v>1</v>
      </c>
      <c r="AK31" s="571">
        <v>-3628.98</v>
      </c>
      <c r="AL31" s="571">
        <v>-7176.66367</v>
      </c>
      <c r="AM31" s="567">
        <v>-3547.7</v>
      </c>
      <c r="AN31" s="485">
        <v>1</v>
      </c>
      <c r="AO31" s="576">
        <v>4624.46</v>
      </c>
      <c r="AP31" s="582">
        <v>5516.5</v>
      </c>
      <c r="AQ31" s="433">
        <f t="shared" si="37"/>
        <v>0.8382960210278256</v>
      </c>
      <c r="AR31" s="395">
        <v>1</v>
      </c>
      <c r="AS31" s="432"/>
      <c r="AT31" s="615"/>
      <c r="AU31" s="553">
        <v>73930.76</v>
      </c>
      <c r="AV31" s="584">
        <v>8272.6</v>
      </c>
      <c r="AW31" s="433">
        <f t="shared" si="18"/>
        <v>0.11189659081010396</v>
      </c>
      <c r="AX31" s="586">
        <v>1</v>
      </c>
      <c r="AY31" s="576">
        <v>4286.41</v>
      </c>
      <c r="AZ31" s="588">
        <f t="shared" si="19"/>
        <v>92.68995731393503</v>
      </c>
      <c r="BA31" s="588">
        <f t="shared" si="20"/>
        <v>51.814544399584165</v>
      </c>
      <c r="BB31" s="589">
        <v>0.5</v>
      </c>
      <c r="BC31" s="589">
        <v>1</v>
      </c>
      <c r="BD31" s="593">
        <v>7651</v>
      </c>
      <c r="BE31" s="591">
        <f t="shared" si="21"/>
        <v>73930.76</v>
      </c>
      <c r="BF31" s="592">
        <f t="shared" si="22"/>
        <v>124.3176172718704</v>
      </c>
      <c r="BG31" s="586">
        <v>1</v>
      </c>
      <c r="BH31" s="589">
        <f>BE31*100/BE81</f>
        <v>9.61422077535156</v>
      </c>
      <c r="BI31" s="432">
        <f t="shared" si="1"/>
        <v>38.81534276434438</v>
      </c>
      <c r="BJ31" s="432">
        <f t="shared" si="2"/>
        <v>2.4279474470436937</v>
      </c>
      <c r="BK31" s="588">
        <v>1795</v>
      </c>
      <c r="BL31" s="432">
        <f t="shared" si="23"/>
        <v>7651</v>
      </c>
      <c r="BM31" s="433">
        <f t="shared" si="24"/>
        <v>0.18545390409352672</v>
      </c>
      <c r="BN31" s="586">
        <v>0</v>
      </c>
      <c r="BO31" s="549">
        <v>50535.89</v>
      </c>
      <c r="BP31" s="549">
        <v>867.12</v>
      </c>
      <c r="BQ31" s="432">
        <f t="shared" si="38"/>
        <v>1.7158498643241469</v>
      </c>
      <c r="BR31" s="433">
        <f t="shared" si="39"/>
        <v>0.017158498643241468</v>
      </c>
      <c r="BS31" s="592">
        <v>0</v>
      </c>
      <c r="BT31" s="601">
        <f t="shared" si="25"/>
        <v>73930.76</v>
      </c>
      <c r="BU31" s="604">
        <v>1</v>
      </c>
      <c r="BV31" s="605">
        <v>1</v>
      </c>
      <c r="BW31" s="608">
        <v>0</v>
      </c>
      <c r="BX31" s="609">
        <v>1</v>
      </c>
      <c r="BY31" s="620">
        <v>0</v>
      </c>
      <c r="BZ31" s="621">
        <f t="shared" si="40"/>
        <v>1</v>
      </c>
      <c r="CA31" s="630">
        <v>0</v>
      </c>
      <c r="CB31" s="42">
        <f t="shared" si="26"/>
        <v>1</v>
      </c>
      <c r="CC31" s="500">
        <v>0</v>
      </c>
      <c r="CD31" s="430">
        <f t="shared" si="27"/>
        <v>1</v>
      </c>
      <c r="CE31" s="395">
        <v>0</v>
      </c>
      <c r="CF31" s="395">
        <v>1</v>
      </c>
      <c r="CG31" s="395">
        <v>0</v>
      </c>
      <c r="CH31" s="432">
        <v>1</v>
      </c>
      <c r="CI31" s="395">
        <v>0</v>
      </c>
      <c r="CJ31" s="395">
        <v>1</v>
      </c>
      <c r="CK31" s="432">
        <v>0</v>
      </c>
      <c r="CL31" s="502">
        <v>1</v>
      </c>
      <c r="CM31" s="431">
        <f t="shared" si="28"/>
        <v>0</v>
      </c>
      <c r="CN31" s="504">
        <f t="shared" si="29"/>
        <v>1</v>
      </c>
      <c r="CO31" s="434">
        <v>0</v>
      </c>
      <c r="CP31" s="488">
        <f t="shared" si="3"/>
        <v>1</v>
      </c>
      <c r="CQ31" s="432">
        <v>0</v>
      </c>
      <c r="CR31" s="432">
        <f t="shared" si="4"/>
        <v>1</v>
      </c>
      <c r="CS31" s="395">
        <v>0</v>
      </c>
      <c r="CT31" s="482">
        <f t="shared" si="5"/>
        <v>1</v>
      </c>
      <c r="CU31" s="395">
        <v>0</v>
      </c>
      <c r="CV31" s="486">
        <f t="shared" si="6"/>
        <v>1</v>
      </c>
      <c r="CW31" s="481">
        <v>0</v>
      </c>
      <c r="CX31" s="482">
        <f t="shared" si="44"/>
        <v>1</v>
      </c>
      <c r="CY31" s="620">
        <v>1</v>
      </c>
      <c r="CZ31" s="621">
        <f t="shared" si="41"/>
        <v>0.5</v>
      </c>
      <c r="DA31" s="643">
        <v>0</v>
      </c>
      <c r="DB31" s="482">
        <f t="shared" si="8"/>
        <v>1</v>
      </c>
      <c r="DC31" s="489"/>
      <c r="DD31" s="482">
        <f t="shared" si="9"/>
        <v>1</v>
      </c>
      <c r="DE31" s="502">
        <v>0</v>
      </c>
      <c r="DF31" s="430">
        <f t="shared" si="30"/>
        <v>1</v>
      </c>
      <c r="DG31" s="500">
        <f>1+1</f>
        <v>2</v>
      </c>
      <c r="DH31" s="430">
        <f t="shared" si="31"/>
        <v>0.6666666666666667</v>
      </c>
      <c r="DI31" s="434"/>
      <c r="DJ31" s="482">
        <f t="shared" si="10"/>
        <v>1</v>
      </c>
      <c r="DK31" s="395">
        <v>0</v>
      </c>
      <c r="DL31" s="432">
        <v>1</v>
      </c>
      <c r="DM31" s="575">
        <v>0</v>
      </c>
      <c r="DN31" s="574">
        <v>1</v>
      </c>
      <c r="DO31" s="395"/>
      <c r="DP31" s="516">
        <f t="shared" si="11"/>
        <v>1</v>
      </c>
      <c r="DQ31" s="633">
        <f>44+54+14+9</f>
        <v>121</v>
      </c>
      <c r="DR31" s="634">
        <f>1-DQ31/(223+273+300+200)*100/100</f>
        <v>0.8785140562248996</v>
      </c>
      <c r="DS31" s="395"/>
      <c r="DT31" s="490">
        <f t="shared" si="12"/>
        <v>1</v>
      </c>
      <c r="DU31" s="491"/>
      <c r="DV31" s="482">
        <v>1</v>
      </c>
      <c r="DW31" s="491"/>
      <c r="DX31" s="491"/>
      <c r="DY31" s="482">
        <v>1</v>
      </c>
      <c r="DZ31" s="491"/>
      <c r="EA31" s="491"/>
      <c r="EB31" s="482">
        <v>1</v>
      </c>
      <c r="EC31" s="491"/>
      <c r="ED31" s="491"/>
      <c r="EE31" s="482">
        <v>1</v>
      </c>
      <c r="EF31" s="491"/>
      <c r="EG31" s="491"/>
      <c r="EH31" s="482">
        <v>0</v>
      </c>
      <c r="EI31" s="491"/>
      <c r="EJ31" s="491"/>
      <c r="EK31" s="482">
        <v>0</v>
      </c>
      <c r="EL31" s="491"/>
      <c r="EM31" s="491"/>
      <c r="EN31" s="482"/>
      <c r="EO31" s="432"/>
      <c r="EP31" s="432"/>
      <c r="EQ31" s="482"/>
      <c r="ER31" s="432">
        <f t="shared" si="32"/>
        <v>21.3785140562249</v>
      </c>
      <c r="ES31" s="518">
        <v>3</v>
      </c>
      <c r="ET31" s="432" t="s">
        <v>117</v>
      </c>
      <c r="EU31" s="440"/>
      <c r="EV31" s="322">
        <v>23.200326869018454</v>
      </c>
      <c r="EW31" s="322">
        <v>4</v>
      </c>
      <c r="EX31" s="322">
        <v>1.552704073700215</v>
      </c>
      <c r="EY31" s="322" t="s">
        <v>117</v>
      </c>
      <c r="EZ31" s="442">
        <f t="shared" si="13"/>
        <v>121</v>
      </c>
      <c r="FB31" s="432"/>
    </row>
    <row r="32" spans="1:158" s="322" customFormat="1" ht="37.5">
      <c r="A32" s="479">
        <v>23</v>
      </c>
      <c r="B32" s="493" t="s">
        <v>140</v>
      </c>
      <c r="C32" s="626">
        <v>0</v>
      </c>
      <c r="D32" s="621">
        <v>1</v>
      </c>
      <c r="E32" s="481"/>
      <c r="F32" s="482">
        <v>1</v>
      </c>
      <c r="G32" s="508">
        <v>5197.5</v>
      </c>
      <c r="H32" s="506">
        <v>16312.74193</v>
      </c>
      <c r="I32" s="433">
        <f t="shared" si="43"/>
        <v>-2.138574685906686</v>
      </c>
      <c r="J32" s="484">
        <v>0</v>
      </c>
      <c r="K32" s="569">
        <v>9058.45921</v>
      </c>
      <c r="L32" s="556">
        <v>9156.09245</v>
      </c>
      <c r="M32" s="61">
        <f t="shared" si="0"/>
        <v>0.989336800547487</v>
      </c>
      <c r="N32" s="485">
        <v>1</v>
      </c>
      <c r="O32" s="569">
        <v>9058.45921</v>
      </c>
      <c r="P32" s="611">
        <v>11093.06</v>
      </c>
      <c r="Q32" s="58">
        <f t="shared" si="42"/>
        <v>0.8165879576960732</v>
      </c>
      <c r="R32" s="557">
        <v>1</v>
      </c>
      <c r="S32" s="569">
        <f>9058.45921-1872.53617</f>
        <v>7185.923040000001</v>
      </c>
      <c r="T32" s="556"/>
      <c r="U32" s="569">
        <f>3274.33283-1578.26266</f>
        <v>1696.0701699999997</v>
      </c>
      <c r="V32" s="496">
        <f>S32/U32*100%</f>
        <v>4.23680763160878</v>
      </c>
      <c r="W32" s="35">
        <f t="shared" si="15"/>
        <v>1</v>
      </c>
      <c r="X32" s="559">
        <v>4211.81073</v>
      </c>
      <c r="Y32" s="559">
        <v>2938.63443</v>
      </c>
      <c r="Z32" s="496">
        <f>Y32/X32*100%</f>
        <v>0.6977128409566495</v>
      </c>
      <c r="AA32" s="560">
        <f t="shared" si="16"/>
        <v>0.30228715904335046</v>
      </c>
      <c r="AB32" s="559">
        <v>2938.63443</v>
      </c>
      <c r="AC32" s="561">
        <f>232.02045+1872.53617+31.6285+3961.5169+5</f>
        <v>6102.702020000001</v>
      </c>
      <c r="AD32" s="61">
        <f t="shared" si="35"/>
        <v>0.4815300534696596</v>
      </c>
      <c r="AE32" s="562">
        <f t="shared" si="17"/>
        <v>0.5184699465303404</v>
      </c>
      <c r="AF32" s="563">
        <v>97.63324</v>
      </c>
      <c r="AG32" s="556">
        <v>9156.09245</v>
      </c>
      <c r="AH32" s="612">
        <v>72.16017</v>
      </c>
      <c r="AI32" s="58">
        <f t="shared" si="36"/>
        <v>0.01074790487099492</v>
      </c>
      <c r="AJ32" s="565">
        <v>1</v>
      </c>
      <c r="AK32" s="572">
        <v>-7573.83695</v>
      </c>
      <c r="AL32" s="572">
        <v>-154.9055</v>
      </c>
      <c r="AM32" s="566">
        <v>7418.9</v>
      </c>
      <c r="AN32" s="485">
        <v>0</v>
      </c>
      <c r="AO32" s="576">
        <v>3223.15</v>
      </c>
      <c r="AP32" s="582">
        <v>3669.3</v>
      </c>
      <c r="AQ32" s="433">
        <f t="shared" si="37"/>
        <v>0.878410050963399</v>
      </c>
      <c r="AR32" s="395">
        <v>1</v>
      </c>
      <c r="AS32" s="432"/>
      <c r="AT32" s="615"/>
      <c r="AU32" s="553">
        <v>23363.46</v>
      </c>
      <c r="AV32" s="584">
        <v>5925.43</v>
      </c>
      <c r="AW32" s="433">
        <f t="shared" si="18"/>
        <v>0.25361954094128186</v>
      </c>
      <c r="AX32" s="586">
        <v>1</v>
      </c>
      <c r="AY32" s="576">
        <v>3223.15</v>
      </c>
      <c r="AZ32" s="588">
        <f t="shared" si="19"/>
        <v>100</v>
      </c>
      <c r="BA32" s="588">
        <f t="shared" si="20"/>
        <v>54.39520844900707</v>
      </c>
      <c r="BB32" s="589">
        <v>0.5</v>
      </c>
      <c r="BC32" s="589">
        <v>1</v>
      </c>
      <c r="BD32" s="593">
        <v>2427</v>
      </c>
      <c r="BE32" s="591">
        <f t="shared" si="21"/>
        <v>23363.46</v>
      </c>
      <c r="BF32" s="592">
        <f t="shared" si="22"/>
        <v>123.84916771054158</v>
      </c>
      <c r="BG32" s="586">
        <v>1</v>
      </c>
      <c r="BH32" s="589">
        <f>BE32*100/BE68</f>
        <v>3.0382680026026403</v>
      </c>
      <c r="BI32" s="432">
        <f t="shared" si="1"/>
        <v>69.95733986938244</v>
      </c>
      <c r="BJ32" s="432">
        <f t="shared" si="2"/>
        <v>9.651096198936289</v>
      </c>
      <c r="BK32" s="588">
        <v>2254.83</v>
      </c>
      <c r="BL32" s="432">
        <f t="shared" si="23"/>
        <v>2427</v>
      </c>
      <c r="BM32" s="433">
        <f t="shared" si="24"/>
        <v>0.7344018419213054</v>
      </c>
      <c r="BN32" s="586">
        <v>0</v>
      </c>
      <c r="BO32" s="550">
        <v>4533.42</v>
      </c>
      <c r="BP32" s="550">
        <v>0</v>
      </c>
      <c r="BQ32" s="432">
        <f t="shared" si="38"/>
        <v>0</v>
      </c>
      <c r="BR32" s="433">
        <f t="shared" si="39"/>
        <v>0</v>
      </c>
      <c r="BS32" s="592">
        <v>0</v>
      </c>
      <c r="BT32" s="601">
        <f t="shared" si="25"/>
        <v>23363.46</v>
      </c>
      <c r="BU32" s="604">
        <v>1</v>
      </c>
      <c r="BV32" s="605">
        <v>1</v>
      </c>
      <c r="BW32" s="608">
        <v>26.090571203004227</v>
      </c>
      <c r="BX32" s="609">
        <v>0.7390942879699578</v>
      </c>
      <c r="BY32" s="620">
        <v>0</v>
      </c>
      <c r="BZ32" s="621">
        <f t="shared" si="40"/>
        <v>1</v>
      </c>
      <c r="CA32" s="630">
        <v>0</v>
      </c>
      <c r="CB32" s="42">
        <f t="shared" si="26"/>
        <v>1</v>
      </c>
      <c r="CC32" s="500">
        <v>0</v>
      </c>
      <c r="CD32" s="430">
        <f t="shared" si="27"/>
        <v>1</v>
      </c>
      <c r="CE32" s="395">
        <v>0</v>
      </c>
      <c r="CF32" s="395">
        <v>1</v>
      </c>
      <c r="CG32" s="395">
        <v>0</v>
      </c>
      <c r="CH32" s="432">
        <v>1</v>
      </c>
      <c r="CI32" s="395">
        <v>0</v>
      </c>
      <c r="CJ32" s="395">
        <v>1</v>
      </c>
      <c r="CK32" s="432">
        <v>0</v>
      </c>
      <c r="CL32" s="502">
        <v>1</v>
      </c>
      <c r="CM32" s="431">
        <f t="shared" si="28"/>
        <v>0</v>
      </c>
      <c r="CN32" s="504">
        <f t="shared" si="29"/>
        <v>1</v>
      </c>
      <c r="CO32" s="434">
        <v>0</v>
      </c>
      <c r="CP32" s="488">
        <f t="shared" si="3"/>
        <v>1</v>
      </c>
      <c r="CQ32" s="432">
        <v>0</v>
      </c>
      <c r="CR32" s="432">
        <f t="shared" si="4"/>
        <v>1</v>
      </c>
      <c r="CS32" s="395">
        <v>0</v>
      </c>
      <c r="CT32" s="482">
        <f t="shared" si="5"/>
        <v>1</v>
      </c>
      <c r="CU32" s="395">
        <v>0</v>
      </c>
      <c r="CV32" s="486">
        <f t="shared" si="6"/>
        <v>1</v>
      </c>
      <c r="CW32" s="481">
        <v>0</v>
      </c>
      <c r="CX32" s="482">
        <f t="shared" si="44"/>
        <v>1</v>
      </c>
      <c r="CY32" s="620">
        <v>0</v>
      </c>
      <c r="CZ32" s="621">
        <f t="shared" si="41"/>
        <v>1</v>
      </c>
      <c r="DA32" s="643">
        <v>0</v>
      </c>
      <c r="DB32" s="482">
        <f t="shared" si="8"/>
        <v>1</v>
      </c>
      <c r="DC32" s="489"/>
      <c r="DD32" s="482">
        <f t="shared" si="9"/>
        <v>1</v>
      </c>
      <c r="DE32" s="502">
        <v>2</v>
      </c>
      <c r="DF32" s="430">
        <f t="shared" si="30"/>
        <v>0</v>
      </c>
      <c r="DG32" s="500">
        <f>3+1+1+1</f>
        <v>6</v>
      </c>
      <c r="DH32" s="430">
        <f t="shared" si="31"/>
        <v>0</v>
      </c>
      <c r="DI32" s="434"/>
      <c r="DJ32" s="482">
        <f t="shared" si="10"/>
        <v>1</v>
      </c>
      <c r="DK32" s="395">
        <v>0</v>
      </c>
      <c r="DL32" s="432">
        <v>1</v>
      </c>
      <c r="DM32" s="575">
        <v>0</v>
      </c>
      <c r="DN32" s="574">
        <v>1</v>
      </c>
      <c r="DO32" s="395"/>
      <c r="DP32" s="516">
        <f t="shared" si="11"/>
        <v>1</v>
      </c>
      <c r="DQ32" s="633">
        <f>78+80+88+53</f>
        <v>299</v>
      </c>
      <c r="DR32" s="634">
        <f>1-DQ32/(388+403+443+295)*100/100</f>
        <v>0.8044473512099412</v>
      </c>
      <c r="DS32" s="395"/>
      <c r="DT32" s="490">
        <f t="shared" si="12"/>
        <v>1</v>
      </c>
      <c r="DU32" s="491"/>
      <c r="DV32" s="482">
        <v>1</v>
      </c>
      <c r="DW32" s="491"/>
      <c r="DX32" s="491"/>
      <c r="DY32" s="482">
        <v>1</v>
      </c>
      <c r="DZ32" s="491"/>
      <c r="EA32" s="491"/>
      <c r="EB32" s="482">
        <v>1</v>
      </c>
      <c r="EC32" s="491"/>
      <c r="ED32" s="491"/>
      <c r="EE32" s="482">
        <v>1</v>
      </c>
      <c r="EF32" s="491"/>
      <c r="EG32" s="491"/>
      <c r="EH32" s="482">
        <v>1</v>
      </c>
      <c r="EI32" s="491"/>
      <c r="EJ32" s="491"/>
      <c r="EK32" s="482">
        <v>1</v>
      </c>
      <c r="EL32" s="491"/>
      <c r="EM32" s="491"/>
      <c r="EN32" s="482"/>
      <c r="EO32" s="432"/>
      <c r="EP32" s="432"/>
      <c r="EQ32" s="482"/>
      <c r="ER32" s="432">
        <f t="shared" si="32"/>
        <v>20.86429874475359</v>
      </c>
      <c r="ES32" s="518">
        <v>6</v>
      </c>
      <c r="ET32" s="432" t="s">
        <v>117</v>
      </c>
      <c r="EU32" s="440"/>
      <c r="EV32" s="322">
        <v>23.403887077031523</v>
      </c>
      <c r="EW32" s="322">
        <v>3</v>
      </c>
      <c r="EX32" s="322">
        <v>1.552704073700215</v>
      </c>
      <c r="EY32" s="322" t="s">
        <v>119</v>
      </c>
      <c r="EZ32" s="442">
        <f t="shared" si="13"/>
        <v>299</v>
      </c>
      <c r="FB32" s="432"/>
    </row>
    <row r="33" spans="1:158" s="109" customFormat="1" ht="21.75" customHeight="1" thickBot="1">
      <c r="A33" s="479">
        <v>24</v>
      </c>
      <c r="B33" s="493" t="s">
        <v>141</v>
      </c>
      <c r="C33" s="627">
        <v>0</v>
      </c>
      <c r="D33" s="621">
        <v>1</v>
      </c>
      <c r="E33" s="481"/>
      <c r="F33" s="482">
        <v>1</v>
      </c>
      <c r="G33" s="508">
        <v>6947.9237</v>
      </c>
      <c r="H33" s="506">
        <v>7813.12724</v>
      </c>
      <c r="I33" s="433">
        <f>(G33-H33)/G33*100%</f>
        <v>-0.12452692017904565</v>
      </c>
      <c r="J33" s="484">
        <v>0</v>
      </c>
      <c r="K33" s="569">
        <v>4992.76416</v>
      </c>
      <c r="L33" s="556">
        <v>7293.58368</v>
      </c>
      <c r="M33" s="61">
        <f t="shared" si="0"/>
        <v>0.6845419726506792</v>
      </c>
      <c r="N33" s="485">
        <v>0.8</v>
      </c>
      <c r="O33" s="569">
        <v>4992.76416</v>
      </c>
      <c r="P33" s="611">
        <v>12038.86869</v>
      </c>
      <c r="Q33" s="58">
        <f>O33/P33*100%</f>
        <v>0.4147203768529516</v>
      </c>
      <c r="R33" s="557">
        <f t="shared" si="33"/>
        <v>0.9216008374510035</v>
      </c>
      <c r="S33" s="569">
        <f>4992.76416-487.41468</f>
        <v>4505.34948</v>
      </c>
      <c r="T33" s="556"/>
      <c r="U33" s="569">
        <f>3273.9186-410.03887</f>
        <v>2863.87973</v>
      </c>
      <c r="V33" s="496">
        <f>S33/U33*100%</f>
        <v>1.573162948431497</v>
      </c>
      <c r="W33" s="35">
        <f t="shared" si="15"/>
        <v>1</v>
      </c>
      <c r="X33" s="559">
        <v>888.36405</v>
      </c>
      <c r="Y33" s="559">
        <v>715.2312</v>
      </c>
      <c r="Z33" s="496">
        <f>Y33/X33*100%</f>
        <v>0.8051104724465155</v>
      </c>
      <c r="AA33" s="560">
        <f t="shared" si="16"/>
        <v>0.19488952755348454</v>
      </c>
      <c r="AB33" s="559">
        <v>715.2312</v>
      </c>
      <c r="AC33" s="561">
        <f>1774.79788+487.41468+578.89224</f>
        <v>2841.1048</v>
      </c>
      <c r="AD33" s="61">
        <f t="shared" si="35"/>
        <v>0.25174403985379207</v>
      </c>
      <c r="AE33" s="562">
        <f>IF(0&lt;AD33&gt;100%,1-AD33/100%,0)</f>
        <v>0.748255960146208</v>
      </c>
      <c r="AF33" s="563">
        <v>2300.81952</v>
      </c>
      <c r="AG33" s="556">
        <v>7293.58368</v>
      </c>
      <c r="AH33" s="612">
        <v>50.81952</v>
      </c>
      <c r="AI33" s="58">
        <f>AF33/(AG33-AH33)*100%</f>
        <v>0.31767146757405945</v>
      </c>
      <c r="AJ33" s="565">
        <v>0.8</v>
      </c>
      <c r="AK33" s="571">
        <v>-177.92493</v>
      </c>
      <c r="AL33" s="571">
        <v>-437.96821</v>
      </c>
      <c r="AM33" s="567">
        <v>-260.1</v>
      </c>
      <c r="AN33" s="485">
        <v>1</v>
      </c>
      <c r="AO33" s="576">
        <v>2662.13</v>
      </c>
      <c r="AP33" s="582">
        <v>3054.4</v>
      </c>
      <c r="AQ33" s="433">
        <f t="shared" si="37"/>
        <v>0.8715721581980095</v>
      </c>
      <c r="AR33" s="395">
        <v>1</v>
      </c>
      <c r="AS33" s="432"/>
      <c r="AT33" s="615"/>
      <c r="AU33" s="553">
        <v>82074.07</v>
      </c>
      <c r="AV33" s="584">
        <v>8060.47</v>
      </c>
      <c r="AW33" s="433">
        <f t="shared" si="18"/>
        <v>0.09820970252845995</v>
      </c>
      <c r="AX33" s="586">
        <v>1</v>
      </c>
      <c r="AY33" s="576">
        <v>2662.13</v>
      </c>
      <c r="AZ33" s="588">
        <f t="shared" si="19"/>
        <v>100</v>
      </c>
      <c r="BA33" s="588">
        <f t="shared" si="20"/>
        <v>33.02698229755833</v>
      </c>
      <c r="BB33" s="589">
        <v>0.5</v>
      </c>
      <c r="BC33" s="589">
        <v>1</v>
      </c>
      <c r="BD33" s="593">
        <v>1629</v>
      </c>
      <c r="BE33" s="591">
        <f t="shared" si="21"/>
        <v>82074.07</v>
      </c>
      <c r="BF33" s="592">
        <f t="shared" si="22"/>
        <v>648.202340643123</v>
      </c>
      <c r="BG33" s="586">
        <v>1</v>
      </c>
      <c r="BH33" s="589">
        <f>BE33*100/BE63</f>
        <v>10.67320596882351</v>
      </c>
      <c r="BI33" s="432">
        <f t="shared" si="1"/>
        <v>66.93249390525631</v>
      </c>
      <c r="BJ33" s="432">
        <f t="shared" si="2"/>
        <v>2.1710023640840523</v>
      </c>
      <c r="BK33" s="588">
        <v>1781.83</v>
      </c>
      <c r="BL33" s="432">
        <f t="shared" si="23"/>
        <v>1629</v>
      </c>
      <c r="BM33" s="433">
        <f t="shared" si="24"/>
        <v>0.8646391813087789</v>
      </c>
      <c r="BN33" s="586">
        <v>0</v>
      </c>
      <c r="BO33" s="551">
        <v>52085.06</v>
      </c>
      <c r="BP33" s="551">
        <v>1245.21</v>
      </c>
      <c r="BQ33" s="432">
        <f t="shared" si="38"/>
        <v>2.3907239427198514</v>
      </c>
      <c r="BR33" s="433">
        <f t="shared" si="39"/>
        <v>0.023907239427198513</v>
      </c>
      <c r="BS33" s="592">
        <v>0</v>
      </c>
      <c r="BT33" s="601">
        <f t="shared" si="25"/>
        <v>82074.07</v>
      </c>
      <c r="BU33" s="604">
        <v>1</v>
      </c>
      <c r="BV33" s="605">
        <v>1</v>
      </c>
      <c r="BW33" s="608">
        <v>0</v>
      </c>
      <c r="BX33" s="609">
        <v>1</v>
      </c>
      <c r="BY33" s="622">
        <v>0</v>
      </c>
      <c r="BZ33" s="621">
        <f t="shared" si="40"/>
        <v>1</v>
      </c>
      <c r="CA33" s="630">
        <v>0</v>
      </c>
      <c r="CB33" s="42">
        <f t="shared" si="26"/>
        <v>1</v>
      </c>
      <c r="CC33" s="500">
        <v>0</v>
      </c>
      <c r="CD33" s="430">
        <f t="shared" si="27"/>
        <v>1</v>
      </c>
      <c r="CE33" s="395">
        <v>0</v>
      </c>
      <c r="CF33" s="395">
        <v>1</v>
      </c>
      <c r="CG33" s="395">
        <v>0</v>
      </c>
      <c r="CH33" s="432">
        <v>1</v>
      </c>
      <c r="CI33" s="395">
        <v>0</v>
      </c>
      <c r="CJ33" s="395">
        <v>1</v>
      </c>
      <c r="CK33" s="432">
        <v>0</v>
      </c>
      <c r="CL33" s="502">
        <v>1</v>
      </c>
      <c r="CM33" s="431">
        <f t="shared" si="28"/>
        <v>0</v>
      </c>
      <c r="CN33" s="504">
        <f t="shared" si="29"/>
        <v>1</v>
      </c>
      <c r="CO33" s="434">
        <v>0</v>
      </c>
      <c r="CP33" s="488">
        <f t="shared" si="3"/>
        <v>1</v>
      </c>
      <c r="CQ33" s="432">
        <v>0</v>
      </c>
      <c r="CR33" s="432">
        <f t="shared" si="4"/>
        <v>1</v>
      </c>
      <c r="CS33" s="395">
        <v>0</v>
      </c>
      <c r="CT33" s="482">
        <f t="shared" si="5"/>
        <v>1</v>
      </c>
      <c r="CU33" s="395">
        <v>0</v>
      </c>
      <c r="CV33" s="486">
        <f t="shared" si="6"/>
        <v>1</v>
      </c>
      <c r="CW33" s="481">
        <v>0</v>
      </c>
      <c r="CX33" s="482">
        <f t="shared" si="44"/>
        <v>1</v>
      </c>
      <c r="CY33" s="622">
        <v>0</v>
      </c>
      <c r="CZ33" s="621">
        <f t="shared" si="41"/>
        <v>1</v>
      </c>
      <c r="DA33" s="643">
        <v>0</v>
      </c>
      <c r="DB33" s="482">
        <f t="shared" si="8"/>
        <v>1</v>
      </c>
      <c r="DC33" s="489"/>
      <c r="DD33" s="482">
        <f t="shared" si="9"/>
        <v>1</v>
      </c>
      <c r="DE33" s="502">
        <v>0</v>
      </c>
      <c r="DF33" s="430">
        <f t="shared" si="30"/>
        <v>1</v>
      </c>
      <c r="DG33" s="500">
        <v>0</v>
      </c>
      <c r="DH33" s="430">
        <f t="shared" si="31"/>
        <v>1</v>
      </c>
      <c r="DI33" s="434"/>
      <c r="DJ33" s="482">
        <f t="shared" si="10"/>
        <v>1</v>
      </c>
      <c r="DK33" s="395">
        <v>0</v>
      </c>
      <c r="DL33" s="432">
        <v>1</v>
      </c>
      <c r="DM33" s="575">
        <v>0</v>
      </c>
      <c r="DN33" s="574">
        <v>1</v>
      </c>
      <c r="DO33" s="395"/>
      <c r="DP33" s="516">
        <f t="shared" si="11"/>
        <v>1</v>
      </c>
      <c r="DQ33" s="633">
        <f>46+15+27+16</f>
        <v>104</v>
      </c>
      <c r="DR33" s="634">
        <f>1-DQ33/(485+370+407+271)*100/100</f>
        <v>0.9321591650358774</v>
      </c>
      <c r="DS33" s="395">
        <v>1</v>
      </c>
      <c r="DT33" s="490">
        <f t="shared" si="12"/>
        <v>0</v>
      </c>
      <c r="DU33" s="491"/>
      <c r="DV33" s="482">
        <v>1</v>
      </c>
      <c r="DW33" s="491"/>
      <c r="DX33" s="491"/>
      <c r="DY33" s="482">
        <v>1</v>
      </c>
      <c r="DZ33" s="491"/>
      <c r="EA33" s="491"/>
      <c r="EB33" s="482">
        <v>1</v>
      </c>
      <c r="EC33" s="491"/>
      <c r="ED33" s="491"/>
      <c r="EE33" s="482">
        <v>1</v>
      </c>
      <c r="EF33" s="491"/>
      <c r="EG33" s="491"/>
      <c r="EH33" s="482">
        <v>1</v>
      </c>
      <c r="EI33" s="491"/>
      <c r="EJ33" s="491"/>
      <c r="EK33" s="482">
        <v>1</v>
      </c>
      <c r="EL33" s="491"/>
      <c r="EM33" s="491"/>
      <c r="EN33" s="482"/>
      <c r="EO33" s="432"/>
      <c r="EP33" s="432"/>
      <c r="EQ33" s="482"/>
      <c r="ER33" s="432">
        <f t="shared" si="32"/>
        <v>20.896905490186573</v>
      </c>
      <c r="ES33" s="518">
        <v>7</v>
      </c>
      <c r="ET33" s="432" t="s">
        <v>117</v>
      </c>
      <c r="EU33" s="322"/>
      <c r="EV33" s="322">
        <v>21.894669014050322</v>
      </c>
      <c r="EW33" s="322">
        <v>12</v>
      </c>
      <c r="EX33" s="322">
        <v>1.552704073700215</v>
      </c>
      <c r="EY33" s="322" t="s">
        <v>117</v>
      </c>
      <c r="EZ33" s="442">
        <f t="shared" si="13"/>
        <v>105</v>
      </c>
      <c r="FB33" s="432"/>
    </row>
    <row r="34" spans="1:156" s="54" customFormat="1" ht="18" customHeight="1" thickBot="1">
      <c r="A34" s="460"/>
      <c r="B34" s="461" t="s">
        <v>105</v>
      </c>
      <c r="C34" s="616">
        <v>0</v>
      </c>
      <c r="D34" s="617">
        <v>0.9960200009492186</v>
      </c>
      <c r="E34" s="462">
        <f>SUM(E1:E27)</f>
        <v>0</v>
      </c>
      <c r="F34" s="462">
        <f>SUM(F10:F33)/24</f>
        <v>1</v>
      </c>
      <c r="G34" s="444">
        <f>SUM(G10:G33)</f>
        <v>125768.09691</v>
      </c>
      <c r="H34" s="444">
        <f>SUM(H10:H33)</f>
        <v>158187.9621</v>
      </c>
      <c r="I34" s="463">
        <f>(G34-H34)/G34*100%</f>
        <v>-0.25777495236490505</v>
      </c>
      <c r="J34" s="462">
        <f>SUM(J10:J33)/24</f>
        <v>0.15769616078966062</v>
      </c>
      <c r="K34" s="464">
        <f>SUM(K10:K33)</f>
        <v>125619.82931000002</v>
      </c>
      <c r="L34" s="464">
        <f>SUM(L10:L33)</f>
        <v>216042.75335</v>
      </c>
      <c r="M34" s="465">
        <f>K34/L34*100%</f>
        <v>0.581458194556934</v>
      </c>
      <c r="N34" s="466">
        <f>SUM(N10:N33)/24</f>
        <v>0.7166666666666668</v>
      </c>
      <c r="O34" s="464">
        <f>SUM(O10:O33)</f>
        <v>125619.82931000002</v>
      </c>
      <c r="P34" s="464">
        <f>SUM(P10:P33)</f>
        <v>277045.10551</v>
      </c>
      <c r="Q34" s="465">
        <f>O34/P34*100%</f>
        <v>0.4534273546495328</v>
      </c>
      <c r="R34" s="466">
        <f>SUM(R10:R33)/24</f>
        <v>0.8871894660759988</v>
      </c>
      <c r="S34" s="464">
        <f>SUM(S10:S33)</f>
        <v>103855.83803000001</v>
      </c>
      <c r="T34" s="464">
        <f>SUM(T10:T33)</f>
        <v>0</v>
      </c>
      <c r="U34" s="464">
        <f>SUM(U10:U33)</f>
        <v>78152.79594000001</v>
      </c>
      <c r="V34" s="465">
        <f>S34/U34*100%</f>
        <v>1.3288819264986107</v>
      </c>
      <c r="W34" s="466">
        <f>SUM(W10:W33)/24</f>
        <v>0.6666666666666666</v>
      </c>
      <c r="X34" s="464">
        <f>SUM(X10:X33)</f>
        <v>184573.13838999998</v>
      </c>
      <c r="Y34" s="464">
        <f>SUM(Y10:Y33)</f>
        <v>157353.82665</v>
      </c>
      <c r="Z34" s="465">
        <f>Y34/X34*100%</f>
        <v>0.8525283149139177</v>
      </c>
      <c r="AA34" s="509">
        <f>SUM(AA10:AA33)/24</f>
        <v>0.09763850660619289</v>
      </c>
      <c r="AB34" s="464">
        <f>SUM(AB10:AB33)</f>
        <v>157353.82665</v>
      </c>
      <c r="AC34" s="464">
        <f>SUM(AC10:AC33)</f>
        <v>94923.05335999999</v>
      </c>
      <c r="AD34" s="467">
        <f>AB34/AC34*100%</f>
        <v>1.6576987473551705</v>
      </c>
      <c r="AE34" s="510">
        <f>SUM(AE10:AE33)/24</f>
        <v>0.3362741639031512</v>
      </c>
      <c r="AF34" s="464">
        <f>SUM(AF10:AF33)</f>
        <v>87434.04308999999</v>
      </c>
      <c r="AG34" s="464">
        <f>SUM(AG10:AG33)</f>
        <v>216042.75335</v>
      </c>
      <c r="AH34" s="464">
        <f>SUM(AH10:AH33)</f>
        <v>4220.4864</v>
      </c>
      <c r="AI34" s="463">
        <f>AF34/(AG34-AH34)*100%</f>
        <v>0.41277078349198537</v>
      </c>
      <c r="AJ34" s="466">
        <f>SUM(AJ10:AJ33)/24</f>
        <v>0.7166666666666668</v>
      </c>
      <c r="AK34" s="468">
        <f>SUM(AK10:AK33)</f>
        <v>-36425.85881</v>
      </c>
      <c r="AL34" s="468">
        <f>SUM(AL10:AL33)</f>
        <v>-35428.46572</v>
      </c>
      <c r="AM34" s="469">
        <f>AK34-AL34</f>
        <v>-997.3930899999978</v>
      </c>
      <c r="AN34" s="466">
        <f>SUM(AN10:AN33)/24</f>
        <v>0.7083333333333334</v>
      </c>
      <c r="AO34" s="470">
        <f>SUM(AO10:AO33)</f>
        <v>89075.12000000001</v>
      </c>
      <c r="AP34" s="470">
        <f>SUM(AP10:AP33)</f>
        <v>104471.00000000001</v>
      </c>
      <c r="AQ34" s="463">
        <f>AO34*100%/AP34</f>
        <v>0.852630107876827</v>
      </c>
      <c r="AR34" s="466">
        <f>SUM(AR10:AR33)/24</f>
        <v>1</v>
      </c>
      <c r="AS34" s="471" t="e">
        <f>AU34*100/AU60</f>
        <v>#DIV/0!</v>
      </c>
      <c r="AT34" s="470">
        <f>SUM(AT10:AT33)</f>
        <v>0</v>
      </c>
      <c r="AU34" s="470">
        <f>SUM(AU10:AU33)</f>
        <v>768972.98</v>
      </c>
      <c r="AV34" s="470">
        <f>SUM(AV10:AV33)</f>
        <v>172688.54</v>
      </c>
      <c r="AW34" s="463">
        <f>AV34*100%/AU34</f>
        <v>0.22457036136692346</v>
      </c>
      <c r="AX34" s="466">
        <f>SUM(AX10:AX33)/24</f>
        <v>0.9916666666666667</v>
      </c>
      <c r="AY34" s="470">
        <f>SUM(AY10:AY33)</f>
        <v>85625.74</v>
      </c>
      <c r="AZ34" s="462">
        <f>AY34*100/AO34</f>
        <v>96.12756064768702</v>
      </c>
      <c r="BA34" s="462">
        <f>AY34*100/AV34</f>
        <v>49.583915643736404</v>
      </c>
      <c r="BB34" s="466">
        <f>SUM(BB10:BB33)/24</f>
        <v>0.5</v>
      </c>
      <c r="BC34" s="466">
        <f>SUM(BC10:BC33)/24</f>
        <v>1</v>
      </c>
      <c r="BD34" s="470">
        <f>SUM(BD10:BD33)</f>
        <v>98932</v>
      </c>
      <c r="BE34" s="470">
        <f>AU34</f>
        <v>768972.98</v>
      </c>
      <c r="BF34" s="463">
        <f>BE34/BE40*100%</f>
        <v>1</v>
      </c>
      <c r="BG34" s="466">
        <f>SUM(BG10:BG33)/24</f>
        <v>0.6833333333333332</v>
      </c>
      <c r="BH34" s="472">
        <f>BE34*100/BE40</f>
        <v>100</v>
      </c>
      <c r="BI34" s="462">
        <f>BK34*100/AO34</f>
        <v>140.50463249446085</v>
      </c>
      <c r="BJ34" s="462">
        <f>BK34*100/AU34</f>
        <v>16.275561463811123</v>
      </c>
      <c r="BK34" s="470">
        <f>SUM(BK10:BK33)</f>
        <v>125154.67000000001</v>
      </c>
      <c r="BL34" s="462">
        <f>BD34</f>
        <v>98932</v>
      </c>
      <c r="BM34" s="463">
        <f>BL34/BL40*100%</f>
        <v>1</v>
      </c>
      <c r="BN34" s="466">
        <f>SUM(BN10:BN33)/24</f>
        <v>0.16666666666666666</v>
      </c>
      <c r="BO34" s="470">
        <f>SUM(BO10:BO33)</f>
        <v>413381.54</v>
      </c>
      <c r="BP34" s="470">
        <f>SUM(BP10:BP33)</f>
        <v>71437.48</v>
      </c>
      <c r="BQ34" s="463">
        <f>BP34/(BO34+BP34)</f>
        <v>0.14734875706815298</v>
      </c>
      <c r="BR34" s="463">
        <v>1</v>
      </c>
      <c r="BS34" s="462">
        <f>SUM(BS10:BS33)/24</f>
        <v>0</v>
      </c>
      <c r="BT34" s="444">
        <f>SUM(BT10:BT33)</f>
        <v>768972.98</v>
      </c>
      <c r="BU34" s="463">
        <f>BT34*100%/AU34</f>
        <v>1</v>
      </c>
      <c r="BV34" s="473">
        <v>1</v>
      </c>
      <c r="BW34" s="616">
        <f>AVERAGE(BW10:BW33)</f>
        <v>5.612254981306923</v>
      </c>
      <c r="BX34" s="617">
        <f>1-(BW34/100)</f>
        <v>0.9438774501869308</v>
      </c>
      <c r="BY34" s="616">
        <f>SUM(BY10:BY33)</f>
        <v>0</v>
      </c>
      <c r="BZ34" s="617">
        <f>SUM(BZ10:BZ33)/24</f>
        <v>1</v>
      </c>
      <c r="CA34" s="466">
        <f>SUM(CA10:CA33)</f>
        <v>0</v>
      </c>
      <c r="CB34" s="466">
        <f>SUM(CB10:CB33)/24</f>
        <v>0.9166666666666666</v>
      </c>
      <c r="CC34" s="466">
        <f>SUM(CC10:CC33)</f>
        <v>0</v>
      </c>
      <c r="CD34" s="466">
        <f>SUM(CD10:CD33)/24</f>
        <v>1</v>
      </c>
      <c r="CE34" s="635">
        <f>SUM(CE10:CE33)</f>
        <v>0</v>
      </c>
      <c r="CF34" s="635">
        <f>SUM(CF10:CF33)/24</f>
        <v>1</v>
      </c>
      <c r="CG34" s="635">
        <f>SUM(CG10:CG33)</f>
        <v>0</v>
      </c>
      <c r="CH34" s="462">
        <f>SUM(CH10:CH33)/24</f>
        <v>1.4166666666666667</v>
      </c>
      <c r="CI34" s="462">
        <f>SUM(CI10:CI33)</f>
        <v>0</v>
      </c>
      <c r="CJ34" s="462">
        <f>SUM(CJ10:CJ33)/24</f>
        <v>1</v>
      </c>
      <c r="CK34" s="462">
        <f>SUM(CK10:CK33)</f>
        <v>0</v>
      </c>
      <c r="CL34" s="462">
        <f>SUM(CL10:CL33)/24</f>
        <v>1</v>
      </c>
      <c r="CM34" s="462">
        <f>SUM(CM10:CM33)</f>
        <v>0</v>
      </c>
      <c r="CN34" s="462">
        <f>SUM(CN10:CN33)/24</f>
        <v>1</v>
      </c>
      <c r="CO34" s="462">
        <f>SUM(CO1:CO23)</f>
        <v>0</v>
      </c>
      <c r="CP34" s="462">
        <f>SUM(CP9:CP33)/24</f>
        <v>1</v>
      </c>
      <c r="CQ34" s="462">
        <f>SUM(CQ10:CQ33)</f>
        <v>0</v>
      </c>
      <c r="CR34" s="462">
        <f>SUM(CR10:CR33)/24</f>
        <v>1</v>
      </c>
      <c r="CS34" s="462">
        <f>SUM(CS10:CS33)</f>
        <v>0</v>
      </c>
      <c r="CT34" s="462">
        <f>SUM(CT10:CT33)/24</f>
        <v>1</v>
      </c>
      <c r="CU34" s="462">
        <f>SUM(CU10:CU33)</f>
        <v>0</v>
      </c>
      <c r="CV34" s="462">
        <f>SUM(CV10:CV33)/24</f>
        <v>1</v>
      </c>
      <c r="CW34" s="462">
        <f>SUM(CW10:CW33)</f>
        <v>0</v>
      </c>
      <c r="CX34" s="462">
        <f>SUM(CX10:CX33)/24</f>
        <v>1</v>
      </c>
      <c r="CY34" s="616">
        <f>SUM(CY10:CY33)</f>
        <v>6</v>
      </c>
      <c r="CZ34" s="617">
        <f>SUM(CZ10:CZ33)/24</f>
        <v>0.875</v>
      </c>
      <c r="DA34" s="474">
        <f>SUM(DA10:DA33)</f>
        <v>0</v>
      </c>
      <c r="DB34" s="474">
        <f>SUM(DB10:DB33)/24</f>
        <v>1</v>
      </c>
      <c r="DC34" s="462">
        <f>SUM(DC10:DC33)</f>
        <v>0</v>
      </c>
      <c r="DD34" s="462">
        <f>SUM(DD10:DD33)/24</f>
        <v>1</v>
      </c>
      <c r="DE34" s="462">
        <f>SUM(DE10:DE33)</f>
        <v>9</v>
      </c>
      <c r="DF34" s="462">
        <f>SUM(DF10:DF33)/24</f>
        <v>0.8125</v>
      </c>
      <c r="DG34" s="462">
        <f>SUM(DG10:DG33)</f>
        <v>40</v>
      </c>
      <c r="DH34" s="462">
        <f>SUM(DH10:DH33)/24</f>
        <v>0.7222222222222222</v>
      </c>
      <c r="DI34" s="462">
        <f>SUM(DI10:DI33)</f>
        <v>0</v>
      </c>
      <c r="DJ34" s="462">
        <f>SUM(DJ10:DJ33)/24</f>
        <v>1</v>
      </c>
      <c r="DK34" s="462">
        <f>SUM(DK10:DK33)</f>
        <v>0</v>
      </c>
      <c r="DL34" s="462">
        <f>SUM(DL10:DL33)/24</f>
        <v>1</v>
      </c>
      <c r="DM34" s="462">
        <f>SUM(DM10:DM33)</f>
        <v>0</v>
      </c>
      <c r="DN34" s="462">
        <f>SUM(DN10:DN33)/24</f>
        <v>1</v>
      </c>
      <c r="DO34" s="462">
        <f>SUM(DO10:DO33)</f>
        <v>0</v>
      </c>
      <c r="DP34" s="462">
        <f>SUM(DP10:DP33)/24</f>
        <v>1</v>
      </c>
      <c r="DQ34" s="475">
        <f>SUM(DQ10:DQ33)</f>
        <v>4424</v>
      </c>
      <c r="DR34" s="476">
        <f>(SUM(DR10:DR33))/24</f>
        <v>0.8665736391441663</v>
      </c>
      <c r="DS34" s="623">
        <f>SUM(DS10:DS33)</f>
        <v>2</v>
      </c>
      <c r="DT34" s="624">
        <f>(SUM(DT10:DT33))/24</f>
        <v>0.9166666666666666</v>
      </c>
      <c r="DU34" s="462">
        <f>SUM(DU10:DU33)</f>
        <v>0</v>
      </c>
      <c r="DV34" s="462">
        <f>SUM(DV10:DV33)/24</f>
        <v>1</v>
      </c>
      <c r="DW34" s="462">
        <f>SUM(DW1:DW7)</f>
        <v>0</v>
      </c>
      <c r="DX34" s="462">
        <f>SUM(DX10:DX33)</f>
        <v>0</v>
      </c>
      <c r="DY34" s="462">
        <f>SUM(DY10:DY33)/24</f>
        <v>0.875</v>
      </c>
      <c r="DZ34" s="462">
        <f>SUM(DZ1:DZ7)</f>
        <v>0</v>
      </c>
      <c r="EA34" s="462">
        <f>SUM(EA10:EA33)</f>
        <v>0</v>
      </c>
      <c r="EB34" s="462">
        <f>SUM(EB10:EB33)/24</f>
        <v>0.9166666666666666</v>
      </c>
      <c r="EC34" s="462">
        <f>SUM(EC1:EC7)</f>
        <v>0</v>
      </c>
      <c r="ED34" s="462">
        <f>SUM(ED10:ED33)</f>
        <v>0</v>
      </c>
      <c r="EE34" s="462">
        <f>SUM(EE10:EE33)/24</f>
        <v>1</v>
      </c>
      <c r="EF34" s="462">
        <f>SUM(EF1:EF7)</f>
        <v>0</v>
      </c>
      <c r="EG34" s="462">
        <f>SUM(EG10:EG33)</f>
        <v>0</v>
      </c>
      <c r="EH34" s="462">
        <f>SUM(EH10:EH33)/24</f>
        <v>0.9583333333333334</v>
      </c>
      <c r="EI34" s="462">
        <f>SUM(EI1:EI7)</f>
        <v>0</v>
      </c>
      <c r="EJ34" s="462">
        <f>SUM(EJ10:EJ33)</f>
        <v>0</v>
      </c>
      <c r="EK34" s="462">
        <f>SUM(EK10:EK33)/24</f>
        <v>0.9166666666666666</v>
      </c>
      <c r="EL34" s="462">
        <f>SUM(EL1:EL7)</f>
        <v>0</v>
      </c>
      <c r="EM34" s="462">
        <f>SUM(EM10:EM33)</f>
        <v>0</v>
      </c>
      <c r="EN34" s="462">
        <f>SUM(EN10:EN33)/24</f>
        <v>0</v>
      </c>
      <c r="EO34" s="462"/>
      <c r="EP34" s="462"/>
      <c r="EQ34" s="462"/>
      <c r="ER34" s="462">
        <f>SUM(ER10:ER33)/24</f>
        <v>19.989886559249772</v>
      </c>
      <c r="ES34" s="477" t="s">
        <v>142</v>
      </c>
      <c r="ET34" s="478" t="s">
        <v>142</v>
      </c>
      <c r="EV34" s="54">
        <v>21.81090431085457</v>
      </c>
      <c r="EW34" s="54" t="s">
        <v>142</v>
      </c>
      <c r="EX34" s="54">
        <v>1.552704073700215</v>
      </c>
      <c r="EY34" s="54" t="s">
        <v>142</v>
      </c>
      <c r="EZ34" s="441">
        <f t="shared" si="13"/>
        <v>4426</v>
      </c>
    </row>
    <row r="35" spans="7:156" ht="22.5" customHeight="1" thickTop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/>
      <c r="L35" s="139"/>
      <c r="M35" s="139"/>
      <c r="N35" s="139"/>
      <c r="O35" s="139"/>
      <c r="P35" s="139"/>
      <c r="Q35" s="139"/>
      <c r="R35" s="139"/>
      <c r="S35" s="139" t="s">
        <v>185</v>
      </c>
      <c r="T35" s="139"/>
      <c r="U35" s="139"/>
      <c r="V35" s="139"/>
      <c r="W35" s="139"/>
      <c r="X35" s="139" t="s">
        <v>193</v>
      </c>
      <c r="Y35" s="139" t="s">
        <v>187</v>
      </c>
      <c r="Z35" s="139"/>
      <c r="AA35" s="139"/>
      <c r="AB35" s="139" t="s">
        <v>187</v>
      </c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U35" s="140">
        <f>AU34</f>
        <v>768972.98</v>
      </c>
      <c r="AV35" s="3">
        <f>AV33*100/AU33</f>
        <v>9.820970252845996</v>
      </c>
      <c r="AW35" s="3">
        <f>AV35*100%/AU35</f>
        <v>1.2771541404284447E-05</v>
      </c>
      <c r="BE35" s="140">
        <f aca="true" t="shared" si="45" ref="BE35:BE66">BE34</f>
        <v>768972.98</v>
      </c>
      <c r="BL35" s="140">
        <f aca="true" t="shared" si="46" ref="BL35:BL66">BL34</f>
        <v>98932</v>
      </c>
      <c r="BM35" s="3">
        <f>BK34*100/AU34</f>
        <v>16.275561463811123</v>
      </c>
      <c r="BY35" s="141"/>
      <c r="BZ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Y35" s="141"/>
      <c r="CZ35" s="141"/>
      <c r="DA35" s="141"/>
      <c r="DB35" s="141"/>
      <c r="DC35" s="141"/>
      <c r="DT35" s="3" t="s">
        <v>143</v>
      </c>
      <c r="EN35" s="3" t="s">
        <v>144</v>
      </c>
      <c r="ER35" s="140" t="e">
        <f>ER34+#REF!+0.1</f>
        <v>#REF!</v>
      </c>
      <c r="ES35" s="3" t="s">
        <v>145</v>
      </c>
      <c r="EZ35" s="3">
        <f>EZ34/24</f>
        <v>184.41666666666666</v>
      </c>
    </row>
    <row r="36" spans="7:149" ht="15.75">
      <c r="G36" s="142">
        <f>G35-G34</f>
        <v>-9010.86990999998</v>
      </c>
      <c r="H36" s="142">
        <f>H35-H34</f>
        <v>-370.8668300000427</v>
      </c>
      <c r="I36" s="142">
        <f>I35-I34</f>
        <v>-0.09389379932615682</v>
      </c>
      <c r="J36" s="142">
        <f>J35-J34</f>
        <v>0.11067523687681682</v>
      </c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U36" s="140"/>
      <c r="BD36" s="3">
        <v>3819</v>
      </c>
      <c r="BE36" s="140">
        <f t="shared" si="45"/>
        <v>768972.98</v>
      </c>
      <c r="BL36" s="140">
        <f t="shared" si="46"/>
        <v>98932</v>
      </c>
      <c r="BY36" s="141"/>
      <c r="BZ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Y36" s="141"/>
      <c r="CZ36" s="141"/>
      <c r="DA36" s="141"/>
      <c r="DB36" s="141"/>
      <c r="DC36" s="141"/>
      <c r="DT36" s="3" t="s">
        <v>143</v>
      </c>
      <c r="EN36" s="3" t="s">
        <v>146</v>
      </c>
      <c r="ER36" s="140" t="e">
        <f>ER34-#REF!+0.1</f>
        <v>#REF!</v>
      </c>
      <c r="ES36" s="3" t="s">
        <v>147</v>
      </c>
    </row>
    <row r="37" spans="47:149" ht="15.75">
      <c r="AU37" s="140"/>
      <c r="BD37" s="142">
        <f>BE34-BD36</f>
        <v>765153.98</v>
      </c>
      <c r="BE37" s="140">
        <f t="shared" si="45"/>
        <v>768972.98</v>
      </c>
      <c r="BL37" s="140">
        <f t="shared" si="46"/>
        <v>98932</v>
      </c>
      <c r="DQ37" s="3">
        <f>DQ34*100/EZ34</f>
        <v>99.95481247175779</v>
      </c>
      <c r="EN37" s="3" t="s">
        <v>148</v>
      </c>
      <c r="ES37" s="3" t="s">
        <v>149</v>
      </c>
    </row>
    <row r="38" spans="47:64" ht="15.75">
      <c r="AU38" s="140"/>
      <c r="BD38" s="3">
        <f>BE34*100/BD36</f>
        <v>20135.453783713016</v>
      </c>
      <c r="BE38" s="140">
        <f t="shared" si="45"/>
        <v>768972.98</v>
      </c>
      <c r="BL38" s="140">
        <f t="shared" si="46"/>
        <v>98932</v>
      </c>
    </row>
    <row r="39" spans="47:64" ht="15.75">
      <c r="AU39" s="140"/>
      <c r="BE39" s="140">
        <f t="shared" si="45"/>
        <v>768972.98</v>
      </c>
      <c r="BL39" s="140">
        <f t="shared" si="46"/>
        <v>98932</v>
      </c>
    </row>
    <row r="40" spans="47:64" ht="15.75">
      <c r="AU40" s="140"/>
      <c r="BE40" s="140">
        <f t="shared" si="45"/>
        <v>768972.98</v>
      </c>
      <c r="BL40" s="140">
        <f t="shared" si="46"/>
        <v>98932</v>
      </c>
    </row>
    <row r="41" spans="47:64" ht="15.75">
      <c r="AU41" s="140"/>
      <c r="BE41" s="140">
        <f t="shared" si="45"/>
        <v>768972.98</v>
      </c>
      <c r="BL41" s="140">
        <f t="shared" si="46"/>
        <v>98932</v>
      </c>
    </row>
    <row r="42" spans="47:64" ht="15.75">
      <c r="AU42" s="140"/>
      <c r="BE42" s="140">
        <f t="shared" si="45"/>
        <v>768972.98</v>
      </c>
      <c r="BL42" s="140">
        <f t="shared" si="46"/>
        <v>98932</v>
      </c>
    </row>
    <row r="43" spans="47:64" ht="15.75">
      <c r="AU43" s="140"/>
      <c r="BE43" s="140">
        <f t="shared" si="45"/>
        <v>768972.98</v>
      </c>
      <c r="BL43" s="140">
        <f t="shared" si="46"/>
        <v>98932</v>
      </c>
    </row>
    <row r="44" spans="47:64" ht="15.75">
      <c r="AU44" s="140"/>
      <c r="BE44" s="140">
        <f t="shared" si="45"/>
        <v>768972.98</v>
      </c>
      <c r="BL44" s="140">
        <f t="shared" si="46"/>
        <v>98932</v>
      </c>
    </row>
    <row r="45" spans="47:64" ht="15.75">
      <c r="AU45" s="140"/>
      <c r="BE45" s="140">
        <f t="shared" si="45"/>
        <v>768972.98</v>
      </c>
      <c r="BL45" s="140">
        <f t="shared" si="46"/>
        <v>98932</v>
      </c>
    </row>
    <row r="46" spans="47:64" ht="15.75">
      <c r="AU46" s="140"/>
      <c r="BE46" s="140">
        <f t="shared" si="45"/>
        <v>768972.98</v>
      </c>
      <c r="BL46" s="140">
        <f t="shared" si="46"/>
        <v>98932</v>
      </c>
    </row>
    <row r="47" spans="47:64" ht="15.75">
      <c r="AU47" s="140"/>
      <c r="BE47" s="140">
        <f t="shared" si="45"/>
        <v>768972.98</v>
      </c>
      <c r="BL47" s="140">
        <f t="shared" si="46"/>
        <v>98932</v>
      </c>
    </row>
    <row r="48" spans="47:64" ht="15.75">
      <c r="AU48" s="140"/>
      <c r="BE48" s="140">
        <f t="shared" si="45"/>
        <v>768972.98</v>
      </c>
      <c r="BL48" s="140">
        <f t="shared" si="46"/>
        <v>98932</v>
      </c>
    </row>
    <row r="49" spans="47:64" ht="15.75">
      <c r="AU49" s="140"/>
      <c r="BE49" s="140">
        <f t="shared" si="45"/>
        <v>768972.98</v>
      </c>
      <c r="BL49" s="140">
        <f t="shared" si="46"/>
        <v>98932</v>
      </c>
    </row>
    <row r="50" spans="47:64" ht="15.75">
      <c r="AU50" s="140"/>
      <c r="BE50" s="140">
        <f t="shared" si="45"/>
        <v>768972.98</v>
      </c>
      <c r="BL50" s="140">
        <f t="shared" si="46"/>
        <v>98932</v>
      </c>
    </row>
    <row r="51" spans="47:64" ht="15.75">
      <c r="AU51" s="140"/>
      <c r="BE51" s="140">
        <f t="shared" si="45"/>
        <v>768972.98</v>
      </c>
      <c r="BL51" s="140">
        <f t="shared" si="46"/>
        <v>98932</v>
      </c>
    </row>
    <row r="52" spans="47:64" ht="15.75">
      <c r="AU52" s="140"/>
      <c r="BE52" s="140">
        <f t="shared" si="45"/>
        <v>768972.98</v>
      </c>
      <c r="BL52" s="140">
        <f t="shared" si="46"/>
        <v>98932</v>
      </c>
    </row>
    <row r="53" spans="47:64" ht="15.75">
      <c r="AU53" s="140"/>
      <c r="BE53" s="140">
        <f t="shared" si="45"/>
        <v>768972.98</v>
      </c>
      <c r="BL53" s="140">
        <f t="shared" si="46"/>
        <v>98932</v>
      </c>
    </row>
    <row r="54" spans="47:64" ht="15.75">
      <c r="AU54" s="140"/>
      <c r="BE54" s="140">
        <f t="shared" si="45"/>
        <v>768972.98</v>
      </c>
      <c r="BL54" s="140">
        <f t="shared" si="46"/>
        <v>98932</v>
      </c>
    </row>
    <row r="55" spans="47:64" ht="15.75">
      <c r="AU55" s="140"/>
      <c r="BE55" s="140">
        <f t="shared" si="45"/>
        <v>768972.98</v>
      </c>
      <c r="BL55" s="140">
        <f t="shared" si="46"/>
        <v>98932</v>
      </c>
    </row>
    <row r="56" spans="47:64" ht="15.75">
      <c r="AU56" s="140"/>
      <c r="BE56" s="140">
        <f t="shared" si="45"/>
        <v>768972.98</v>
      </c>
      <c r="BL56" s="140">
        <f t="shared" si="46"/>
        <v>98932</v>
      </c>
    </row>
    <row r="57" spans="47:64" ht="15.75">
      <c r="AU57" s="140"/>
      <c r="BE57" s="140">
        <f t="shared" si="45"/>
        <v>768972.98</v>
      </c>
      <c r="BL57" s="140">
        <f t="shared" si="46"/>
        <v>98932</v>
      </c>
    </row>
    <row r="58" spans="47:64" ht="15.75">
      <c r="AU58" s="140"/>
      <c r="BE58" s="140">
        <f t="shared" si="45"/>
        <v>768972.98</v>
      </c>
      <c r="BL58" s="140">
        <f t="shared" si="46"/>
        <v>98932</v>
      </c>
    </row>
    <row r="59" spans="47:64" ht="15.75">
      <c r="AU59" s="140"/>
      <c r="BE59" s="140">
        <f t="shared" si="45"/>
        <v>768972.98</v>
      </c>
      <c r="BL59" s="140">
        <f t="shared" si="46"/>
        <v>98932</v>
      </c>
    </row>
    <row r="60" spans="47:64" ht="15.75">
      <c r="AU60" s="140"/>
      <c r="BE60" s="140">
        <f t="shared" si="45"/>
        <v>768972.98</v>
      </c>
      <c r="BL60" s="140">
        <f t="shared" si="46"/>
        <v>98932</v>
      </c>
    </row>
    <row r="61" spans="47:64" ht="15.75">
      <c r="AU61" s="140"/>
      <c r="BE61" s="140">
        <f t="shared" si="45"/>
        <v>768972.98</v>
      </c>
      <c r="BL61" s="140">
        <f t="shared" si="46"/>
        <v>98932</v>
      </c>
    </row>
    <row r="62" spans="47:64" ht="15.75">
      <c r="AU62" s="140"/>
      <c r="BE62" s="140">
        <f t="shared" si="45"/>
        <v>768972.98</v>
      </c>
      <c r="BL62" s="140">
        <f t="shared" si="46"/>
        <v>98932</v>
      </c>
    </row>
    <row r="63" spans="47:64" ht="15.75">
      <c r="AU63" s="140"/>
      <c r="BE63" s="140">
        <f t="shared" si="45"/>
        <v>768972.98</v>
      </c>
      <c r="BL63" s="140">
        <f t="shared" si="46"/>
        <v>98932</v>
      </c>
    </row>
    <row r="64" spans="47:64" ht="15.75">
      <c r="AU64" s="140"/>
      <c r="BE64" s="140">
        <f t="shared" si="45"/>
        <v>768972.98</v>
      </c>
      <c r="BL64" s="140">
        <f t="shared" si="46"/>
        <v>98932</v>
      </c>
    </row>
    <row r="65" spans="47:64" ht="15.75">
      <c r="AU65" s="140"/>
      <c r="BE65" s="140">
        <f t="shared" si="45"/>
        <v>768972.98</v>
      </c>
      <c r="BL65" s="140">
        <f t="shared" si="46"/>
        <v>98932</v>
      </c>
    </row>
    <row r="66" spans="47:64" ht="15.75">
      <c r="AU66" s="140"/>
      <c r="BE66" s="140">
        <f t="shared" si="45"/>
        <v>768972.98</v>
      </c>
      <c r="BL66" s="140">
        <f t="shared" si="46"/>
        <v>98932</v>
      </c>
    </row>
    <row r="67" spans="47:64" ht="15.75">
      <c r="AU67" s="140"/>
      <c r="BE67" s="140">
        <f aca="true" t="shared" si="47" ref="BE67:BE98">BE66</f>
        <v>768972.98</v>
      </c>
      <c r="BL67" s="140">
        <f aca="true" t="shared" si="48" ref="BL67:BL99">BL66</f>
        <v>98932</v>
      </c>
    </row>
    <row r="68" spans="47:64" ht="15.75">
      <c r="AU68" s="140"/>
      <c r="BE68" s="140">
        <f t="shared" si="47"/>
        <v>768972.98</v>
      </c>
      <c r="BL68" s="140">
        <f t="shared" si="48"/>
        <v>98932</v>
      </c>
    </row>
    <row r="69" spans="47:64" ht="15.75">
      <c r="AU69" s="140"/>
      <c r="BE69" s="140">
        <f t="shared" si="47"/>
        <v>768972.98</v>
      </c>
      <c r="BL69" s="140">
        <f t="shared" si="48"/>
        <v>98932</v>
      </c>
    </row>
    <row r="70" spans="47:64" ht="15.75">
      <c r="AU70" s="140"/>
      <c r="BE70" s="140">
        <f t="shared" si="47"/>
        <v>768972.98</v>
      </c>
      <c r="BL70" s="140">
        <f t="shared" si="48"/>
        <v>98932</v>
      </c>
    </row>
    <row r="71" spans="47:64" ht="15.75">
      <c r="AU71" s="140"/>
      <c r="BE71" s="140">
        <f t="shared" si="47"/>
        <v>768972.98</v>
      </c>
      <c r="BL71" s="140">
        <f t="shared" si="48"/>
        <v>98932</v>
      </c>
    </row>
    <row r="72" spans="47:64" ht="15.75">
      <c r="AU72" s="140"/>
      <c r="BE72" s="140">
        <f t="shared" si="47"/>
        <v>768972.98</v>
      </c>
      <c r="BL72" s="140">
        <f t="shared" si="48"/>
        <v>98932</v>
      </c>
    </row>
    <row r="73" spans="47:64" ht="15.75">
      <c r="AU73" s="140"/>
      <c r="BE73" s="140">
        <f t="shared" si="47"/>
        <v>768972.98</v>
      </c>
      <c r="BL73" s="140">
        <f t="shared" si="48"/>
        <v>98932</v>
      </c>
    </row>
    <row r="74" spans="47:64" ht="15.75">
      <c r="AU74" s="140"/>
      <c r="BE74" s="140">
        <f t="shared" si="47"/>
        <v>768972.98</v>
      </c>
      <c r="BL74" s="140">
        <f t="shared" si="48"/>
        <v>98932</v>
      </c>
    </row>
    <row r="75" spans="47:64" ht="15.75">
      <c r="AU75" s="140"/>
      <c r="BE75" s="140">
        <f t="shared" si="47"/>
        <v>768972.98</v>
      </c>
      <c r="BL75" s="140">
        <f t="shared" si="48"/>
        <v>98932</v>
      </c>
    </row>
    <row r="76" spans="47:64" ht="15.75">
      <c r="AU76" s="140"/>
      <c r="BE76" s="140">
        <f t="shared" si="47"/>
        <v>768972.98</v>
      </c>
      <c r="BL76" s="140">
        <f t="shared" si="48"/>
        <v>98932</v>
      </c>
    </row>
    <row r="77" spans="47:64" ht="15.75">
      <c r="AU77" s="140"/>
      <c r="BE77" s="140">
        <f t="shared" si="47"/>
        <v>768972.98</v>
      </c>
      <c r="BL77" s="140">
        <f t="shared" si="48"/>
        <v>98932</v>
      </c>
    </row>
    <row r="78" spans="47:64" ht="15.75">
      <c r="AU78" s="140"/>
      <c r="BE78" s="140">
        <f t="shared" si="47"/>
        <v>768972.98</v>
      </c>
      <c r="BL78" s="140">
        <f t="shared" si="48"/>
        <v>98932</v>
      </c>
    </row>
    <row r="79" spans="47:64" ht="15.75">
      <c r="AU79" s="140"/>
      <c r="BE79" s="140">
        <f t="shared" si="47"/>
        <v>768972.98</v>
      </c>
      <c r="BL79" s="140">
        <f t="shared" si="48"/>
        <v>98932</v>
      </c>
    </row>
    <row r="80" spans="57:64" ht="15.75">
      <c r="BE80" s="140">
        <f t="shared" si="47"/>
        <v>768972.98</v>
      </c>
      <c r="BL80" s="140">
        <f t="shared" si="48"/>
        <v>98932</v>
      </c>
    </row>
    <row r="81" spans="57:64" ht="15.75">
      <c r="BE81" s="140">
        <f t="shared" si="47"/>
        <v>768972.98</v>
      </c>
      <c r="BL81" s="140">
        <f t="shared" si="48"/>
        <v>98932</v>
      </c>
    </row>
    <row r="82" spans="57:64" ht="15.75">
      <c r="BE82" s="140">
        <f t="shared" si="47"/>
        <v>768972.98</v>
      </c>
      <c r="BL82" s="140">
        <f t="shared" si="48"/>
        <v>98932</v>
      </c>
    </row>
    <row r="83" spans="57:64" ht="15.75">
      <c r="BE83" s="140">
        <f t="shared" si="47"/>
        <v>768972.98</v>
      </c>
      <c r="BL83" s="140">
        <f t="shared" si="48"/>
        <v>98932</v>
      </c>
    </row>
    <row r="84" spans="57:64" ht="15.75">
      <c r="BE84" s="140">
        <f t="shared" si="47"/>
        <v>768972.98</v>
      </c>
      <c r="BL84" s="140">
        <f t="shared" si="48"/>
        <v>98932</v>
      </c>
    </row>
    <row r="85" spans="57:64" ht="15.75">
      <c r="BE85" s="140">
        <f t="shared" si="47"/>
        <v>768972.98</v>
      </c>
      <c r="BL85" s="140">
        <f t="shared" si="48"/>
        <v>98932</v>
      </c>
    </row>
    <row r="86" spans="57:64" ht="15.75">
      <c r="BE86" s="140">
        <f t="shared" si="47"/>
        <v>768972.98</v>
      </c>
      <c r="BL86" s="140">
        <f t="shared" si="48"/>
        <v>98932</v>
      </c>
    </row>
    <row r="87" spans="57:64" ht="15.75">
      <c r="BE87" s="140">
        <f t="shared" si="47"/>
        <v>768972.98</v>
      </c>
      <c r="BL87" s="140">
        <f t="shared" si="48"/>
        <v>98932</v>
      </c>
    </row>
    <row r="88" spans="57:64" ht="15.75">
      <c r="BE88" s="140">
        <f t="shared" si="47"/>
        <v>768972.98</v>
      </c>
      <c r="BL88" s="140">
        <f t="shared" si="48"/>
        <v>98932</v>
      </c>
    </row>
    <row r="89" spans="57:64" ht="15.75">
      <c r="BE89" s="140">
        <f t="shared" si="47"/>
        <v>768972.98</v>
      </c>
      <c r="BL89" s="140">
        <f t="shared" si="48"/>
        <v>98932</v>
      </c>
    </row>
    <row r="90" spans="57:64" ht="15.75">
      <c r="BE90" s="140">
        <f t="shared" si="47"/>
        <v>768972.98</v>
      </c>
      <c r="BL90" s="140">
        <f t="shared" si="48"/>
        <v>98932</v>
      </c>
    </row>
    <row r="91" spans="57:64" ht="15.75">
      <c r="BE91" s="140">
        <f t="shared" si="47"/>
        <v>768972.98</v>
      </c>
      <c r="BL91" s="140">
        <f t="shared" si="48"/>
        <v>98932</v>
      </c>
    </row>
    <row r="92" spans="57:64" ht="15.75">
      <c r="BE92" s="140">
        <f t="shared" si="47"/>
        <v>768972.98</v>
      </c>
      <c r="BL92" s="140">
        <f t="shared" si="48"/>
        <v>98932</v>
      </c>
    </row>
    <row r="93" spans="57:64" ht="15.75">
      <c r="BE93" s="140">
        <f t="shared" si="47"/>
        <v>768972.98</v>
      </c>
      <c r="BL93" s="140">
        <f t="shared" si="48"/>
        <v>98932</v>
      </c>
    </row>
    <row r="94" spans="57:64" ht="15.75">
      <c r="BE94" s="140">
        <f t="shared" si="47"/>
        <v>768972.98</v>
      </c>
      <c r="BL94" s="140">
        <f t="shared" si="48"/>
        <v>98932</v>
      </c>
    </row>
    <row r="95" spans="57:64" ht="15.75">
      <c r="BE95" s="140">
        <f t="shared" si="47"/>
        <v>768972.98</v>
      </c>
      <c r="BL95" s="140">
        <f t="shared" si="48"/>
        <v>98932</v>
      </c>
    </row>
    <row r="96" spans="57:64" ht="15.75">
      <c r="BE96" s="140">
        <f t="shared" si="47"/>
        <v>768972.98</v>
      </c>
      <c r="BL96" s="140">
        <f t="shared" si="48"/>
        <v>98932</v>
      </c>
    </row>
    <row r="97" spans="57:64" ht="15.75">
      <c r="BE97" s="140">
        <f t="shared" si="47"/>
        <v>768972.98</v>
      </c>
      <c r="BL97" s="140">
        <f t="shared" si="48"/>
        <v>98932</v>
      </c>
    </row>
    <row r="98" spans="57:64" ht="15.75">
      <c r="BE98" s="140">
        <f t="shared" si="47"/>
        <v>768972.98</v>
      </c>
      <c r="BL98" s="140">
        <f t="shared" si="48"/>
        <v>98932</v>
      </c>
    </row>
    <row r="99" spans="57:64" ht="15.75">
      <c r="BE99" s="140">
        <f aca="true" t="shared" si="49" ref="BE99:BE110">BE98</f>
        <v>768972.98</v>
      </c>
      <c r="BL99" s="140">
        <f t="shared" si="48"/>
        <v>98932</v>
      </c>
    </row>
    <row r="100" ht="15.75">
      <c r="BE100" s="140">
        <f t="shared" si="49"/>
        <v>768972.98</v>
      </c>
    </row>
    <row r="101" ht="15.75">
      <c r="BE101" s="140">
        <f t="shared" si="49"/>
        <v>768972.98</v>
      </c>
    </row>
    <row r="102" ht="15.75">
      <c r="BE102" s="140">
        <f t="shared" si="49"/>
        <v>768972.98</v>
      </c>
    </row>
    <row r="103" ht="15.75">
      <c r="BE103" s="140">
        <f t="shared" si="49"/>
        <v>768972.98</v>
      </c>
    </row>
    <row r="104" ht="15.75">
      <c r="BE104" s="140">
        <f t="shared" si="49"/>
        <v>768972.98</v>
      </c>
    </row>
    <row r="105" ht="15.75">
      <c r="BE105" s="140">
        <f t="shared" si="49"/>
        <v>768972.98</v>
      </c>
    </row>
    <row r="106" ht="15.75">
      <c r="BE106" s="140">
        <f t="shared" si="49"/>
        <v>768972.98</v>
      </c>
    </row>
    <row r="107" ht="15.75">
      <c r="BE107" s="140">
        <f t="shared" si="49"/>
        <v>768972.98</v>
      </c>
    </row>
    <row r="108" ht="15.75">
      <c r="BE108" s="140">
        <f t="shared" si="49"/>
        <v>768972.98</v>
      </c>
    </row>
    <row r="109" ht="15.75">
      <c r="BE109" s="140">
        <f t="shared" si="49"/>
        <v>768972.98</v>
      </c>
    </row>
    <row r="110" ht="15.75">
      <c r="BE110" s="140">
        <f t="shared" si="49"/>
        <v>768972.98</v>
      </c>
    </row>
  </sheetData>
  <sheetProtection/>
  <mergeCells count="185">
    <mergeCell ref="A4:A9"/>
    <mergeCell ref="B4:B9"/>
    <mergeCell ref="C4:D6"/>
    <mergeCell ref="E4:F6"/>
    <mergeCell ref="C7:D7"/>
    <mergeCell ref="E7:F7"/>
    <mergeCell ref="C8:C9"/>
    <mergeCell ref="D8:D9"/>
    <mergeCell ref="E8:E9"/>
    <mergeCell ref="F8:F9"/>
    <mergeCell ref="G4:J6"/>
    <mergeCell ref="K4:N6"/>
    <mergeCell ref="L8:L9"/>
    <mergeCell ref="M8:M9"/>
    <mergeCell ref="N8:N9"/>
    <mergeCell ref="G7:J7"/>
    <mergeCell ref="K7:N7"/>
    <mergeCell ref="G8:G9"/>
    <mergeCell ref="H8:H9"/>
    <mergeCell ref="I8:I9"/>
    <mergeCell ref="O4:R6"/>
    <mergeCell ref="S4:W6"/>
    <mergeCell ref="X4:AA6"/>
    <mergeCell ref="AB4:AE6"/>
    <mergeCell ref="AF4:AJ6"/>
    <mergeCell ref="AK4:AN6"/>
    <mergeCell ref="AO4:AR6"/>
    <mergeCell ref="AU4:AX6"/>
    <mergeCell ref="AY4:BC6"/>
    <mergeCell ref="BD4:BG6"/>
    <mergeCell ref="BK4:BN6"/>
    <mergeCell ref="BO4:BS6"/>
    <mergeCell ref="BT4:BV6"/>
    <mergeCell ref="BW4:BX6"/>
    <mergeCell ref="BY4:CN6"/>
    <mergeCell ref="CO4:DD6"/>
    <mergeCell ref="DE4:DP6"/>
    <mergeCell ref="DQ4:DR6"/>
    <mergeCell ref="DS4:DT6"/>
    <mergeCell ref="DU4:DV6"/>
    <mergeCell ref="DW4:DY6"/>
    <mergeCell ref="DZ4:EB6"/>
    <mergeCell ref="EC4:EE6"/>
    <mergeCell ref="EF4:EH6"/>
    <mergeCell ref="EI4:EK6"/>
    <mergeCell ref="EL4:EN6"/>
    <mergeCell ref="EO4:EQ6"/>
    <mergeCell ref="ER4:ET7"/>
    <mergeCell ref="EI7:EK7"/>
    <mergeCell ref="EL7:EN7"/>
    <mergeCell ref="EO7:EQ7"/>
    <mergeCell ref="O7:R7"/>
    <mergeCell ref="S7:W7"/>
    <mergeCell ref="X7:AA7"/>
    <mergeCell ref="AB7:AE7"/>
    <mergeCell ref="AF7:AJ7"/>
    <mergeCell ref="AK7:AN7"/>
    <mergeCell ref="AO7:AR7"/>
    <mergeCell ref="AU7:AX7"/>
    <mergeCell ref="AY7:BC7"/>
    <mergeCell ref="BD7:BG7"/>
    <mergeCell ref="BK7:BN7"/>
    <mergeCell ref="BO7:BS7"/>
    <mergeCell ref="BT7:BV7"/>
    <mergeCell ref="BW7:BX7"/>
    <mergeCell ref="BY7:CN7"/>
    <mergeCell ref="CO7:DD7"/>
    <mergeCell ref="DE7:DP7"/>
    <mergeCell ref="DQ7:DR7"/>
    <mergeCell ref="DS7:DT7"/>
    <mergeCell ref="DU7:DV7"/>
    <mergeCell ref="DW7:DY7"/>
    <mergeCell ref="DZ7:EB7"/>
    <mergeCell ref="EC7:EE7"/>
    <mergeCell ref="EF7:EH7"/>
    <mergeCell ref="J8:J9"/>
    <mergeCell ref="K8:K9"/>
    <mergeCell ref="O8:O9"/>
    <mergeCell ref="P8:P9"/>
    <mergeCell ref="Q8:Q9"/>
    <mergeCell ref="R8:R9"/>
    <mergeCell ref="AF8:AF9"/>
    <mergeCell ref="AG8:AG9"/>
    <mergeCell ref="AH8:AH9"/>
    <mergeCell ref="S8:S9"/>
    <mergeCell ref="U8:U9"/>
    <mergeCell ref="V8:V9"/>
    <mergeCell ref="W8:W9"/>
    <mergeCell ref="X8:X9"/>
    <mergeCell ref="Y8:Y9"/>
    <mergeCell ref="T8:T9"/>
    <mergeCell ref="AI8:AI9"/>
    <mergeCell ref="AJ8:AJ9"/>
    <mergeCell ref="AN8:AN9"/>
    <mergeCell ref="AO8:AO9"/>
    <mergeCell ref="Z8:Z9"/>
    <mergeCell ref="AA8:AA9"/>
    <mergeCell ref="AB8:AB9"/>
    <mergeCell ref="AC8:AC9"/>
    <mergeCell ref="AD8:AD9"/>
    <mergeCell ref="AE8:AE9"/>
    <mergeCell ref="AP8:AP9"/>
    <mergeCell ref="AQ8:AQ9"/>
    <mergeCell ref="AV8:AV9"/>
    <mergeCell ref="AR8:AR9"/>
    <mergeCell ref="AT8:AT9"/>
    <mergeCell ref="AU8:AU9"/>
    <mergeCell ref="AW8:AW9"/>
    <mergeCell ref="AX8:AX9"/>
    <mergeCell ref="AZ8:BA8"/>
    <mergeCell ref="BB8:BB9"/>
    <mergeCell ref="BC8:BC9"/>
    <mergeCell ref="AY8:AY9"/>
    <mergeCell ref="BD8:BD9"/>
    <mergeCell ref="BE8:BE9"/>
    <mergeCell ref="BL8:BL9"/>
    <mergeCell ref="BF8:BF9"/>
    <mergeCell ref="BG8:BG9"/>
    <mergeCell ref="BK8:BK9"/>
    <mergeCell ref="BM8:BM9"/>
    <mergeCell ref="BN8:BN9"/>
    <mergeCell ref="BP8:BP9"/>
    <mergeCell ref="BQ8:BQ9"/>
    <mergeCell ref="BR8:BR9"/>
    <mergeCell ref="BO8:BO9"/>
    <mergeCell ref="BS8:BS9"/>
    <mergeCell ref="BT8:BT9"/>
    <mergeCell ref="BX8:BX9"/>
    <mergeCell ref="BU8:BU9"/>
    <mergeCell ref="BV8:BV9"/>
    <mergeCell ref="BW8:BW9"/>
    <mergeCell ref="BY8:BZ8"/>
    <mergeCell ref="CE8:CF8"/>
    <mergeCell ref="CA8:CB8"/>
    <mergeCell ref="CC8:CD8"/>
    <mergeCell ref="CK8:CL8"/>
    <mergeCell ref="CG8:CH8"/>
    <mergeCell ref="CM8:CN8"/>
    <mergeCell ref="CI8:CJ8"/>
    <mergeCell ref="CO8:CP8"/>
    <mergeCell ref="CS8:CT8"/>
    <mergeCell ref="CU8:CV8"/>
    <mergeCell ref="CQ8:CR8"/>
    <mergeCell ref="DK8:DL8"/>
    <mergeCell ref="CW8:CX8"/>
    <mergeCell ref="CY8:CZ8"/>
    <mergeCell ref="DA8:DB8"/>
    <mergeCell ref="DI8:DJ8"/>
    <mergeCell ref="DC8:DD8"/>
    <mergeCell ref="DE8:DF8"/>
    <mergeCell ref="DG8:DH8"/>
    <mergeCell ref="ES8:ES9"/>
    <mergeCell ref="DW8:DW9"/>
    <mergeCell ref="DX8:DX9"/>
    <mergeCell ref="DY8:DY9"/>
    <mergeCell ref="DZ8:DZ9"/>
    <mergeCell ref="DM8:DN8"/>
    <mergeCell ref="DO8:DP8"/>
    <mergeCell ref="DQ8:DQ9"/>
    <mergeCell ref="DR8:DR9"/>
    <mergeCell ref="EA8:EA9"/>
    <mergeCell ref="EE8:EE9"/>
    <mergeCell ref="EF8:EF9"/>
    <mergeCell ref="EG8:EG9"/>
    <mergeCell ref="EB8:EB9"/>
    <mergeCell ref="DS8:DS9"/>
    <mergeCell ref="DT8:DT9"/>
    <mergeCell ref="DU8:DU9"/>
    <mergeCell ref="DV8:DV9"/>
    <mergeCell ref="AK8:AK9"/>
    <mergeCell ref="AM8:AM9"/>
    <mergeCell ref="AL8:AL9"/>
    <mergeCell ref="ET8:ET9"/>
    <mergeCell ref="EI8:EI9"/>
    <mergeCell ref="EJ8:EJ9"/>
    <mergeCell ref="EK8:EK9"/>
    <mergeCell ref="EL8:EL9"/>
    <mergeCell ref="EC8:EC9"/>
    <mergeCell ref="ED8:ED9"/>
    <mergeCell ref="EH8:EH9"/>
    <mergeCell ref="EM8:EM9"/>
    <mergeCell ref="EN8:EN9"/>
    <mergeCell ref="EO8:EO9"/>
    <mergeCell ref="EQ8:EQ9"/>
    <mergeCell ref="ER8:ER9"/>
  </mergeCells>
  <printOptions horizontalCentered="1"/>
  <pageMargins left="0" right="0.1968503937007874" top="0.15748031496062992" bottom="0.15748031496062992" header="0.2362204724409449" footer="0.15748031496062992"/>
  <pageSetup fitToHeight="1" fitToWidth="1" horizontalDpi="600" verticalDpi="600" orientation="portrait" paperSize="9" scale="10" r:id="rId3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НА 01.12.2014 года
</oddHeader>
  </headerFooter>
  <colBreaks count="4" manualBreakCount="4">
    <brk id="20" max="65535" man="1"/>
    <brk id="29" max="65535" man="1"/>
    <brk id="124" max="65535" man="1"/>
    <brk id="147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700" t="s">
        <v>1</v>
      </c>
      <c r="B4" s="703" t="s">
        <v>2</v>
      </c>
      <c r="C4" s="650" t="s">
        <v>3</v>
      </c>
      <c r="D4" s="662"/>
      <c r="E4" s="650" t="s">
        <v>4</v>
      </c>
      <c r="F4" s="712"/>
      <c r="G4" s="660" t="s">
        <v>5</v>
      </c>
      <c r="H4" s="664"/>
      <c r="I4" s="664"/>
      <c r="J4" s="648"/>
      <c r="K4" s="650" t="s">
        <v>6</v>
      </c>
      <c r="L4" s="664"/>
      <c r="M4" s="664"/>
      <c r="N4" s="662"/>
      <c r="O4" s="650" t="s">
        <v>7</v>
      </c>
      <c r="P4" s="664"/>
      <c r="Q4" s="664"/>
      <c r="R4" s="662"/>
      <c r="S4" s="650" t="s">
        <v>8</v>
      </c>
      <c r="T4" s="664"/>
      <c r="U4" s="664"/>
      <c r="V4" s="662"/>
      <c r="W4" s="650" t="s">
        <v>9</v>
      </c>
      <c r="X4" s="664"/>
      <c r="Y4" s="664"/>
      <c r="Z4" s="662"/>
      <c r="AA4" s="650" t="s">
        <v>172</v>
      </c>
      <c r="AB4" s="664"/>
      <c r="AC4" s="664"/>
      <c r="AD4" s="662"/>
      <c r="AE4" s="650" t="s">
        <v>10</v>
      </c>
      <c r="AF4" s="664"/>
      <c r="AG4" s="664"/>
      <c r="AH4" s="664"/>
      <c r="AI4" s="662"/>
      <c r="AJ4" s="650" t="s">
        <v>11</v>
      </c>
      <c r="AK4" s="664"/>
      <c r="AL4" s="664"/>
      <c r="AM4" s="648"/>
      <c r="AN4" s="664" t="s">
        <v>12</v>
      </c>
      <c r="AO4" s="664"/>
      <c r="AP4" s="664"/>
      <c r="AQ4" s="664"/>
      <c r="AR4" s="7"/>
      <c r="AS4" s="7"/>
      <c r="AT4" s="664" t="s">
        <v>13</v>
      </c>
      <c r="AU4" s="664"/>
      <c r="AV4" s="664"/>
      <c r="AW4" s="664"/>
      <c r="AX4" s="664" t="s">
        <v>14</v>
      </c>
      <c r="AY4" s="664"/>
      <c r="AZ4" s="664"/>
      <c r="BA4" s="664"/>
      <c r="BB4" s="664"/>
      <c r="BC4" s="664" t="s">
        <v>15</v>
      </c>
      <c r="BD4" s="664"/>
      <c r="BE4" s="664"/>
      <c r="BF4" s="664"/>
      <c r="BG4" s="6"/>
      <c r="BH4" s="7"/>
      <c r="BI4" s="7"/>
      <c r="BJ4" s="664" t="s">
        <v>16</v>
      </c>
      <c r="BK4" s="664"/>
      <c r="BL4" s="664"/>
      <c r="BM4" s="664"/>
      <c r="BN4" s="664" t="s">
        <v>17</v>
      </c>
      <c r="BO4" s="664"/>
      <c r="BP4" s="664"/>
      <c r="BQ4" s="664"/>
      <c r="BR4" s="664"/>
      <c r="BS4" s="685" t="s">
        <v>18</v>
      </c>
      <c r="BT4" s="685"/>
      <c r="BU4" s="685"/>
      <c r="BV4" s="664" t="s">
        <v>19</v>
      </c>
      <c r="BW4" s="648"/>
      <c r="BX4" s="650" t="s">
        <v>20</v>
      </c>
      <c r="BY4" s="664"/>
      <c r="BZ4" s="664"/>
      <c r="CA4" s="664"/>
      <c r="CB4" s="664"/>
      <c r="CC4" s="664"/>
      <c r="CD4" s="664"/>
      <c r="CE4" s="664"/>
      <c r="CF4" s="664"/>
      <c r="CG4" s="664"/>
      <c r="CH4" s="664"/>
      <c r="CI4" s="664"/>
      <c r="CJ4" s="664"/>
      <c r="CK4" s="664"/>
      <c r="CL4" s="664"/>
      <c r="CM4" s="662"/>
      <c r="CN4" s="660" t="s">
        <v>21</v>
      </c>
      <c r="CO4" s="664"/>
      <c r="CP4" s="664"/>
      <c r="CQ4" s="664"/>
      <c r="CR4" s="664"/>
      <c r="CS4" s="664"/>
      <c r="CT4" s="664"/>
      <c r="CU4" s="664"/>
      <c r="CV4" s="664"/>
      <c r="CW4" s="664"/>
      <c r="CX4" s="664"/>
      <c r="CY4" s="664"/>
      <c r="CZ4" s="664"/>
      <c r="DA4" s="664"/>
      <c r="DB4" s="664"/>
      <c r="DC4" s="648"/>
      <c r="DD4" s="650" t="s">
        <v>22</v>
      </c>
      <c r="DE4" s="664"/>
      <c r="DF4" s="664"/>
      <c r="DG4" s="664"/>
      <c r="DH4" s="664"/>
      <c r="DI4" s="664"/>
      <c r="DJ4" s="664"/>
      <c r="DK4" s="664"/>
      <c r="DL4" s="664"/>
      <c r="DM4" s="664"/>
      <c r="DN4" s="664"/>
      <c r="DO4" s="662"/>
      <c r="DP4" s="650" t="s">
        <v>23</v>
      </c>
      <c r="DQ4" s="662"/>
      <c r="DR4" s="650" t="s">
        <v>24</v>
      </c>
      <c r="DS4" s="662"/>
      <c r="DT4" s="660" t="s">
        <v>25</v>
      </c>
      <c r="DU4" s="648"/>
      <c r="DV4" s="664" t="s">
        <v>26</v>
      </c>
      <c r="DW4" s="664"/>
      <c r="DX4" s="662"/>
      <c r="DY4" s="650" t="s">
        <v>27</v>
      </c>
      <c r="DZ4" s="664"/>
      <c r="EA4" s="662"/>
      <c r="EB4" s="660" t="s">
        <v>28</v>
      </c>
      <c r="EC4" s="664"/>
      <c r="ED4" s="664"/>
      <c r="EE4" s="664" t="s">
        <v>29</v>
      </c>
      <c r="EF4" s="664"/>
      <c r="EG4" s="664"/>
      <c r="EH4" s="664" t="s">
        <v>30</v>
      </c>
      <c r="EI4" s="664"/>
      <c r="EJ4" s="648"/>
      <c r="EK4" s="650" t="s">
        <v>31</v>
      </c>
      <c r="EL4" s="664"/>
      <c r="EM4" s="662"/>
      <c r="EN4" s="719" t="s">
        <v>160</v>
      </c>
      <c r="EO4" s="720"/>
      <c r="EP4" s="650" t="s">
        <v>32</v>
      </c>
      <c r="EQ4" s="664"/>
      <c r="ER4" s="664"/>
      <c r="ES4" s="662"/>
    </row>
    <row r="5" spans="1:149" s="11" customFormat="1" ht="15.75">
      <c r="A5" s="701"/>
      <c r="B5" s="704"/>
      <c r="C5" s="665"/>
      <c r="D5" s="667"/>
      <c r="E5" s="701"/>
      <c r="F5" s="713"/>
      <c r="G5" s="681"/>
      <c r="H5" s="666"/>
      <c r="I5" s="666"/>
      <c r="J5" s="677"/>
      <c r="K5" s="665"/>
      <c r="L5" s="666"/>
      <c r="M5" s="666"/>
      <c r="N5" s="667"/>
      <c r="O5" s="665"/>
      <c r="P5" s="666"/>
      <c r="Q5" s="666"/>
      <c r="R5" s="667"/>
      <c r="S5" s="665"/>
      <c r="T5" s="666"/>
      <c r="U5" s="666"/>
      <c r="V5" s="667"/>
      <c r="W5" s="665"/>
      <c r="X5" s="666"/>
      <c r="Y5" s="666"/>
      <c r="Z5" s="667"/>
      <c r="AA5" s="665"/>
      <c r="AB5" s="666"/>
      <c r="AC5" s="666"/>
      <c r="AD5" s="667"/>
      <c r="AE5" s="665"/>
      <c r="AF5" s="666"/>
      <c r="AG5" s="666"/>
      <c r="AH5" s="666"/>
      <c r="AI5" s="667"/>
      <c r="AJ5" s="665"/>
      <c r="AK5" s="666"/>
      <c r="AL5" s="666"/>
      <c r="AM5" s="677"/>
      <c r="AN5" s="666"/>
      <c r="AO5" s="666"/>
      <c r="AP5" s="666"/>
      <c r="AQ5" s="666"/>
      <c r="AR5" s="10"/>
      <c r="AS5" s="10"/>
      <c r="AT5" s="666"/>
      <c r="AU5" s="666"/>
      <c r="AV5" s="666"/>
      <c r="AW5" s="666"/>
      <c r="AX5" s="666"/>
      <c r="AY5" s="666"/>
      <c r="AZ5" s="666"/>
      <c r="BA5" s="666"/>
      <c r="BB5" s="666"/>
      <c r="BC5" s="666"/>
      <c r="BD5" s="666"/>
      <c r="BE5" s="666"/>
      <c r="BF5" s="666"/>
      <c r="BG5" s="9"/>
      <c r="BH5" s="10"/>
      <c r="BI5" s="10"/>
      <c r="BJ5" s="666"/>
      <c r="BK5" s="666"/>
      <c r="BL5" s="666"/>
      <c r="BM5" s="666"/>
      <c r="BN5" s="666"/>
      <c r="BO5" s="666"/>
      <c r="BP5" s="666"/>
      <c r="BQ5" s="666"/>
      <c r="BR5" s="666"/>
      <c r="BS5" s="686"/>
      <c r="BT5" s="686"/>
      <c r="BU5" s="686"/>
      <c r="BV5" s="666"/>
      <c r="BW5" s="677"/>
      <c r="BX5" s="665"/>
      <c r="BY5" s="666"/>
      <c r="BZ5" s="666"/>
      <c r="CA5" s="666"/>
      <c r="CB5" s="666"/>
      <c r="CC5" s="666"/>
      <c r="CD5" s="666"/>
      <c r="CE5" s="666"/>
      <c r="CF5" s="666"/>
      <c r="CG5" s="666"/>
      <c r="CH5" s="666"/>
      <c r="CI5" s="666"/>
      <c r="CJ5" s="666"/>
      <c r="CK5" s="666"/>
      <c r="CL5" s="666"/>
      <c r="CM5" s="667"/>
      <c r="CN5" s="681"/>
      <c r="CO5" s="666"/>
      <c r="CP5" s="666"/>
      <c r="CQ5" s="666"/>
      <c r="CR5" s="666"/>
      <c r="CS5" s="666"/>
      <c r="CT5" s="666"/>
      <c r="CU5" s="666"/>
      <c r="CV5" s="666"/>
      <c r="CW5" s="666"/>
      <c r="CX5" s="666"/>
      <c r="CY5" s="666"/>
      <c r="CZ5" s="666"/>
      <c r="DA5" s="666"/>
      <c r="DB5" s="666"/>
      <c r="DC5" s="677"/>
      <c r="DD5" s="665"/>
      <c r="DE5" s="666"/>
      <c r="DF5" s="666"/>
      <c r="DG5" s="666"/>
      <c r="DH5" s="666"/>
      <c r="DI5" s="666"/>
      <c r="DJ5" s="666"/>
      <c r="DK5" s="666"/>
      <c r="DL5" s="666"/>
      <c r="DM5" s="666"/>
      <c r="DN5" s="666"/>
      <c r="DO5" s="667"/>
      <c r="DP5" s="665"/>
      <c r="DQ5" s="667"/>
      <c r="DR5" s="665"/>
      <c r="DS5" s="667"/>
      <c r="DT5" s="681"/>
      <c r="DU5" s="677"/>
      <c r="DV5" s="666"/>
      <c r="DW5" s="666"/>
      <c r="DX5" s="667"/>
      <c r="DY5" s="665"/>
      <c r="DZ5" s="666"/>
      <c r="EA5" s="667"/>
      <c r="EB5" s="681"/>
      <c r="EC5" s="666"/>
      <c r="ED5" s="666"/>
      <c r="EE5" s="666"/>
      <c r="EF5" s="666"/>
      <c r="EG5" s="666"/>
      <c r="EH5" s="666"/>
      <c r="EI5" s="666"/>
      <c r="EJ5" s="677"/>
      <c r="EK5" s="665"/>
      <c r="EL5" s="666"/>
      <c r="EM5" s="667"/>
      <c r="EN5" s="721"/>
      <c r="EO5" s="722"/>
      <c r="EP5" s="665"/>
      <c r="EQ5" s="666"/>
      <c r="ER5" s="666"/>
      <c r="ES5" s="667"/>
    </row>
    <row r="6" spans="1:149" s="16" customFormat="1" ht="153" customHeight="1" thickBot="1">
      <c r="A6" s="701"/>
      <c r="B6" s="704"/>
      <c r="C6" s="668"/>
      <c r="D6" s="663"/>
      <c r="E6" s="702"/>
      <c r="F6" s="714"/>
      <c r="G6" s="661"/>
      <c r="H6" s="669"/>
      <c r="I6" s="669"/>
      <c r="J6" s="649"/>
      <c r="K6" s="668"/>
      <c r="L6" s="669"/>
      <c r="M6" s="669"/>
      <c r="N6" s="663"/>
      <c r="O6" s="668"/>
      <c r="P6" s="669"/>
      <c r="Q6" s="669"/>
      <c r="R6" s="663"/>
      <c r="S6" s="668"/>
      <c r="T6" s="669"/>
      <c r="U6" s="669"/>
      <c r="V6" s="663"/>
      <c r="W6" s="668"/>
      <c r="X6" s="669"/>
      <c r="Y6" s="669"/>
      <c r="Z6" s="663"/>
      <c r="AA6" s="668"/>
      <c r="AB6" s="669"/>
      <c r="AC6" s="669"/>
      <c r="AD6" s="663"/>
      <c r="AE6" s="668"/>
      <c r="AF6" s="669"/>
      <c r="AG6" s="669"/>
      <c r="AH6" s="669"/>
      <c r="AI6" s="663"/>
      <c r="AJ6" s="668"/>
      <c r="AK6" s="669"/>
      <c r="AL6" s="669"/>
      <c r="AM6" s="649"/>
      <c r="AN6" s="669"/>
      <c r="AO6" s="669"/>
      <c r="AP6" s="669"/>
      <c r="AQ6" s="669"/>
      <c r="AR6" s="15"/>
      <c r="AS6" s="15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14"/>
      <c r="BH6" s="15"/>
      <c r="BI6" s="15"/>
      <c r="BJ6" s="669"/>
      <c r="BK6" s="669"/>
      <c r="BL6" s="669"/>
      <c r="BM6" s="669"/>
      <c r="BN6" s="669"/>
      <c r="BO6" s="669"/>
      <c r="BP6" s="669"/>
      <c r="BQ6" s="669"/>
      <c r="BR6" s="669"/>
      <c r="BS6" s="687"/>
      <c r="BT6" s="687"/>
      <c r="BU6" s="687"/>
      <c r="BV6" s="669"/>
      <c r="BW6" s="649"/>
      <c r="BX6" s="668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69"/>
      <c r="CM6" s="663"/>
      <c r="CN6" s="661"/>
      <c r="CO6" s="669"/>
      <c r="CP6" s="669"/>
      <c r="CQ6" s="669"/>
      <c r="CR6" s="669"/>
      <c r="CS6" s="669"/>
      <c r="CT6" s="669"/>
      <c r="CU6" s="669"/>
      <c r="CV6" s="669"/>
      <c r="CW6" s="669"/>
      <c r="CX6" s="669"/>
      <c r="CY6" s="669"/>
      <c r="CZ6" s="669"/>
      <c r="DA6" s="669"/>
      <c r="DB6" s="669"/>
      <c r="DC6" s="649"/>
      <c r="DD6" s="668"/>
      <c r="DE6" s="669"/>
      <c r="DF6" s="669"/>
      <c r="DG6" s="669"/>
      <c r="DH6" s="669"/>
      <c r="DI6" s="669"/>
      <c r="DJ6" s="669"/>
      <c r="DK6" s="669"/>
      <c r="DL6" s="669"/>
      <c r="DM6" s="669"/>
      <c r="DN6" s="669"/>
      <c r="DO6" s="663"/>
      <c r="DP6" s="668"/>
      <c r="DQ6" s="663"/>
      <c r="DR6" s="668"/>
      <c r="DS6" s="663"/>
      <c r="DT6" s="661"/>
      <c r="DU6" s="649"/>
      <c r="DV6" s="669"/>
      <c r="DW6" s="669"/>
      <c r="DX6" s="663"/>
      <c r="DY6" s="668"/>
      <c r="DZ6" s="669"/>
      <c r="EA6" s="663"/>
      <c r="EB6" s="661"/>
      <c r="EC6" s="669"/>
      <c r="ED6" s="669"/>
      <c r="EE6" s="669"/>
      <c r="EF6" s="669"/>
      <c r="EG6" s="669"/>
      <c r="EH6" s="669"/>
      <c r="EI6" s="669"/>
      <c r="EJ6" s="649"/>
      <c r="EK6" s="668"/>
      <c r="EL6" s="669"/>
      <c r="EM6" s="663"/>
      <c r="EN6" s="723"/>
      <c r="EO6" s="724"/>
      <c r="EP6" s="665"/>
      <c r="EQ6" s="666"/>
      <c r="ER6" s="666"/>
      <c r="ES6" s="667"/>
    </row>
    <row r="7" spans="1:149" s="16" customFormat="1" ht="16.5" thickBot="1">
      <c r="A7" s="701"/>
      <c r="B7" s="704"/>
      <c r="C7" s="762" t="s">
        <v>33</v>
      </c>
      <c r="D7" s="763"/>
      <c r="E7" s="762" t="s">
        <v>34</v>
      </c>
      <c r="F7" s="763"/>
      <c r="G7" s="764" t="s">
        <v>35</v>
      </c>
      <c r="H7" s="767"/>
      <c r="I7" s="767"/>
      <c r="J7" s="765"/>
      <c r="K7" s="762" t="s">
        <v>36</v>
      </c>
      <c r="L7" s="767"/>
      <c r="M7" s="767"/>
      <c r="N7" s="763"/>
      <c r="O7" s="762" t="s">
        <v>37</v>
      </c>
      <c r="P7" s="767"/>
      <c r="Q7" s="767"/>
      <c r="R7" s="763"/>
      <c r="S7" s="762" t="s">
        <v>38</v>
      </c>
      <c r="T7" s="767"/>
      <c r="U7" s="767"/>
      <c r="V7" s="763"/>
      <c r="W7" s="762" t="s">
        <v>39</v>
      </c>
      <c r="X7" s="767"/>
      <c r="Y7" s="767"/>
      <c r="Z7" s="763"/>
      <c r="AA7" s="762" t="s">
        <v>40</v>
      </c>
      <c r="AB7" s="767"/>
      <c r="AC7" s="767"/>
      <c r="AD7" s="763"/>
      <c r="AE7" s="762" t="s">
        <v>41</v>
      </c>
      <c r="AF7" s="767"/>
      <c r="AG7" s="767"/>
      <c r="AH7" s="767"/>
      <c r="AI7" s="763"/>
      <c r="AJ7" s="762" t="s">
        <v>42</v>
      </c>
      <c r="AK7" s="767"/>
      <c r="AL7" s="767"/>
      <c r="AM7" s="765"/>
      <c r="AN7" s="767" t="s">
        <v>43</v>
      </c>
      <c r="AO7" s="767"/>
      <c r="AP7" s="767"/>
      <c r="AQ7" s="767"/>
      <c r="AR7" s="376"/>
      <c r="AS7" s="376"/>
      <c r="AT7" s="767" t="s">
        <v>44</v>
      </c>
      <c r="AU7" s="767"/>
      <c r="AV7" s="767"/>
      <c r="AW7" s="767"/>
      <c r="AX7" s="767" t="s">
        <v>45</v>
      </c>
      <c r="AY7" s="767"/>
      <c r="AZ7" s="767"/>
      <c r="BA7" s="767"/>
      <c r="BB7" s="767"/>
      <c r="BC7" s="767" t="s">
        <v>46</v>
      </c>
      <c r="BD7" s="767"/>
      <c r="BE7" s="767"/>
      <c r="BF7" s="767"/>
      <c r="BG7" s="375"/>
      <c r="BH7" s="376"/>
      <c r="BI7" s="376"/>
      <c r="BJ7" s="767" t="s">
        <v>47</v>
      </c>
      <c r="BK7" s="767"/>
      <c r="BL7" s="767"/>
      <c r="BM7" s="767"/>
      <c r="BN7" s="767" t="s">
        <v>48</v>
      </c>
      <c r="BO7" s="767"/>
      <c r="BP7" s="767"/>
      <c r="BQ7" s="767"/>
      <c r="BR7" s="767"/>
      <c r="BS7" s="767" t="s">
        <v>49</v>
      </c>
      <c r="BT7" s="767"/>
      <c r="BU7" s="767"/>
      <c r="BV7" s="767" t="s">
        <v>50</v>
      </c>
      <c r="BW7" s="765"/>
      <c r="BX7" s="762" t="s">
        <v>51</v>
      </c>
      <c r="BY7" s="767"/>
      <c r="BZ7" s="767"/>
      <c r="CA7" s="767"/>
      <c r="CB7" s="767"/>
      <c r="CC7" s="767"/>
      <c r="CD7" s="767"/>
      <c r="CE7" s="767"/>
      <c r="CF7" s="767"/>
      <c r="CG7" s="767"/>
      <c r="CH7" s="767"/>
      <c r="CI7" s="767"/>
      <c r="CJ7" s="767"/>
      <c r="CK7" s="767"/>
      <c r="CL7" s="767"/>
      <c r="CM7" s="763"/>
      <c r="CN7" s="764" t="s">
        <v>52</v>
      </c>
      <c r="CO7" s="767"/>
      <c r="CP7" s="767"/>
      <c r="CQ7" s="767"/>
      <c r="CR7" s="767"/>
      <c r="CS7" s="767"/>
      <c r="CT7" s="767"/>
      <c r="CU7" s="767"/>
      <c r="CV7" s="767"/>
      <c r="CW7" s="767"/>
      <c r="CX7" s="767"/>
      <c r="CY7" s="767"/>
      <c r="CZ7" s="767"/>
      <c r="DA7" s="767"/>
      <c r="DB7" s="767"/>
      <c r="DC7" s="765"/>
      <c r="DD7" s="762" t="s">
        <v>53</v>
      </c>
      <c r="DE7" s="767"/>
      <c r="DF7" s="767"/>
      <c r="DG7" s="767"/>
      <c r="DH7" s="767"/>
      <c r="DI7" s="767"/>
      <c r="DJ7" s="767"/>
      <c r="DK7" s="767"/>
      <c r="DL7" s="767"/>
      <c r="DM7" s="767"/>
      <c r="DN7" s="767"/>
      <c r="DO7" s="763"/>
      <c r="DP7" s="762" t="s">
        <v>54</v>
      </c>
      <c r="DQ7" s="763"/>
      <c r="DR7" s="762" t="s">
        <v>55</v>
      </c>
      <c r="DS7" s="763"/>
      <c r="DT7" s="764" t="s">
        <v>56</v>
      </c>
      <c r="DU7" s="765"/>
      <c r="DV7" s="767" t="s">
        <v>57</v>
      </c>
      <c r="DW7" s="767"/>
      <c r="DX7" s="763"/>
      <c r="DY7" s="762" t="s">
        <v>58</v>
      </c>
      <c r="DZ7" s="767"/>
      <c r="EA7" s="763"/>
      <c r="EB7" s="764" t="s">
        <v>59</v>
      </c>
      <c r="EC7" s="767"/>
      <c r="ED7" s="767"/>
      <c r="EE7" s="767" t="s">
        <v>60</v>
      </c>
      <c r="EF7" s="767"/>
      <c r="EG7" s="767"/>
      <c r="EH7" s="767" t="s">
        <v>61</v>
      </c>
      <c r="EI7" s="767"/>
      <c r="EJ7" s="765"/>
      <c r="EK7" s="762" t="s">
        <v>63</v>
      </c>
      <c r="EL7" s="767"/>
      <c r="EM7" s="763"/>
      <c r="EN7" s="725" t="s">
        <v>62</v>
      </c>
      <c r="EO7" s="726"/>
      <c r="EP7" s="668"/>
      <c r="EQ7" s="669"/>
      <c r="ER7" s="669"/>
      <c r="ES7" s="663"/>
    </row>
    <row r="8" spans="1:154" s="16" customFormat="1" ht="111.75" customHeight="1" thickBot="1">
      <c r="A8" s="701"/>
      <c r="B8" s="704"/>
      <c r="C8" s="650" t="s">
        <v>64</v>
      </c>
      <c r="D8" s="697" t="s">
        <v>65</v>
      </c>
      <c r="E8" s="650" t="s">
        <v>64</v>
      </c>
      <c r="F8" s="697" t="s">
        <v>65</v>
      </c>
      <c r="G8" s="660" t="s">
        <v>66</v>
      </c>
      <c r="H8" s="664" t="s">
        <v>67</v>
      </c>
      <c r="I8" s="664" t="s">
        <v>64</v>
      </c>
      <c r="J8" s="694" t="s">
        <v>65</v>
      </c>
      <c r="K8" s="650" t="s">
        <v>67</v>
      </c>
      <c r="L8" s="664" t="s">
        <v>68</v>
      </c>
      <c r="M8" s="664" t="s">
        <v>64</v>
      </c>
      <c r="N8" s="697" t="s">
        <v>65</v>
      </c>
      <c r="O8" s="650" t="s">
        <v>67</v>
      </c>
      <c r="P8" s="664" t="s">
        <v>69</v>
      </c>
      <c r="Q8" s="664" t="s">
        <v>64</v>
      </c>
      <c r="R8" s="697" t="s">
        <v>65</v>
      </c>
      <c r="S8" s="650" t="s">
        <v>70</v>
      </c>
      <c r="T8" s="664" t="s">
        <v>71</v>
      </c>
      <c r="U8" s="664" t="s">
        <v>64</v>
      </c>
      <c r="V8" s="697" t="s">
        <v>65</v>
      </c>
      <c r="W8" s="650" t="s">
        <v>72</v>
      </c>
      <c r="X8" s="664" t="s">
        <v>73</v>
      </c>
      <c r="Y8" s="664" t="s">
        <v>64</v>
      </c>
      <c r="Z8" s="697" t="s">
        <v>65</v>
      </c>
      <c r="AA8" s="650" t="s">
        <v>74</v>
      </c>
      <c r="AB8" s="664" t="s">
        <v>75</v>
      </c>
      <c r="AC8" s="664" t="s">
        <v>64</v>
      </c>
      <c r="AD8" s="697" t="s">
        <v>65</v>
      </c>
      <c r="AE8" s="650" t="s">
        <v>76</v>
      </c>
      <c r="AF8" s="664" t="s">
        <v>77</v>
      </c>
      <c r="AG8" s="664" t="s">
        <v>78</v>
      </c>
      <c r="AH8" s="664" t="s">
        <v>64</v>
      </c>
      <c r="AI8" s="697" t="s">
        <v>65</v>
      </c>
      <c r="AJ8" s="650" t="s">
        <v>154</v>
      </c>
      <c r="AK8" s="664" t="s">
        <v>155</v>
      </c>
      <c r="AL8" s="664" t="s">
        <v>64</v>
      </c>
      <c r="AM8" s="694" t="s">
        <v>65</v>
      </c>
      <c r="AN8" s="664" t="s">
        <v>79</v>
      </c>
      <c r="AO8" s="664" t="s">
        <v>80</v>
      </c>
      <c r="AP8" s="664" t="s">
        <v>64</v>
      </c>
      <c r="AQ8" s="768" t="s">
        <v>81</v>
      </c>
      <c r="AR8" s="21"/>
      <c r="AS8" s="708" t="s">
        <v>82</v>
      </c>
      <c r="AT8" s="664" t="s">
        <v>82</v>
      </c>
      <c r="AU8" s="664" t="s">
        <v>83</v>
      </c>
      <c r="AV8" s="664" t="s">
        <v>64</v>
      </c>
      <c r="AW8" s="768" t="s">
        <v>65</v>
      </c>
      <c r="AX8" s="664" t="s">
        <v>84</v>
      </c>
      <c r="AY8" s="664" t="s">
        <v>85</v>
      </c>
      <c r="AZ8" s="664"/>
      <c r="BA8" s="664" t="s">
        <v>86</v>
      </c>
      <c r="BB8" s="664" t="s">
        <v>87</v>
      </c>
      <c r="BC8" s="710" t="s">
        <v>88</v>
      </c>
      <c r="BD8" s="710" t="s">
        <v>89</v>
      </c>
      <c r="BE8" s="664" t="s">
        <v>64</v>
      </c>
      <c r="BF8" s="768" t="s">
        <v>65</v>
      </c>
      <c r="BG8" s="21"/>
      <c r="BH8" s="21"/>
      <c r="BI8" s="21"/>
      <c r="BJ8" s="664" t="s">
        <v>90</v>
      </c>
      <c r="BK8" s="664" t="s">
        <v>91</v>
      </c>
      <c r="BL8" s="664" t="s">
        <v>64</v>
      </c>
      <c r="BM8" s="768" t="s">
        <v>65</v>
      </c>
      <c r="BN8" s="664" t="s">
        <v>92</v>
      </c>
      <c r="BO8" s="664" t="s">
        <v>93</v>
      </c>
      <c r="BP8" s="664" t="s">
        <v>94</v>
      </c>
      <c r="BQ8" s="664" t="s">
        <v>64</v>
      </c>
      <c r="BR8" s="768" t="s">
        <v>65</v>
      </c>
      <c r="BS8" s="664" t="s">
        <v>95</v>
      </c>
      <c r="BT8" s="664" t="s">
        <v>64</v>
      </c>
      <c r="BU8" s="768" t="s">
        <v>65</v>
      </c>
      <c r="BV8" s="664" t="s">
        <v>64</v>
      </c>
      <c r="BW8" s="697" t="s">
        <v>65</v>
      </c>
      <c r="BX8" s="762" t="s">
        <v>96</v>
      </c>
      <c r="BY8" s="767"/>
      <c r="BZ8" s="767" t="s">
        <v>156</v>
      </c>
      <c r="CA8" s="767"/>
      <c r="CB8" s="765" t="s">
        <v>97</v>
      </c>
      <c r="CC8" s="764"/>
      <c r="CD8" s="767" t="s">
        <v>151</v>
      </c>
      <c r="CE8" s="767"/>
      <c r="CF8" s="767" t="s">
        <v>161</v>
      </c>
      <c r="CG8" s="767"/>
      <c r="CH8" s="770"/>
      <c r="CI8" s="770"/>
      <c r="CJ8" s="767" t="s">
        <v>98</v>
      </c>
      <c r="CK8" s="767"/>
      <c r="CL8" s="767" t="s">
        <v>105</v>
      </c>
      <c r="CM8" s="763"/>
      <c r="CN8" s="764" t="s">
        <v>99</v>
      </c>
      <c r="CO8" s="767"/>
      <c r="CP8" s="771" t="s">
        <v>152</v>
      </c>
      <c r="CQ8" s="771"/>
      <c r="CR8" s="767" t="s">
        <v>157</v>
      </c>
      <c r="CS8" s="767"/>
      <c r="CT8" s="767" t="s">
        <v>153</v>
      </c>
      <c r="CU8" s="767"/>
      <c r="CV8" s="767" t="s">
        <v>162</v>
      </c>
      <c r="CW8" s="767"/>
      <c r="CX8" s="767" t="s">
        <v>100</v>
      </c>
      <c r="CY8" s="767"/>
      <c r="CZ8" s="767" t="s">
        <v>101</v>
      </c>
      <c r="DA8" s="767"/>
      <c r="DB8" s="767" t="s">
        <v>105</v>
      </c>
      <c r="DC8" s="765"/>
      <c r="DD8" s="762" t="s">
        <v>158</v>
      </c>
      <c r="DE8" s="767"/>
      <c r="DF8" s="767" t="s">
        <v>102</v>
      </c>
      <c r="DG8" s="767"/>
      <c r="DH8" s="767" t="s">
        <v>103</v>
      </c>
      <c r="DI8" s="767"/>
      <c r="DJ8" s="767" t="s">
        <v>159</v>
      </c>
      <c r="DK8" s="767"/>
      <c r="DL8" s="767" t="s">
        <v>104</v>
      </c>
      <c r="DM8" s="767"/>
      <c r="DN8" s="767" t="s">
        <v>105</v>
      </c>
      <c r="DO8" s="763"/>
      <c r="DP8" s="658" t="s">
        <v>64</v>
      </c>
      <c r="DQ8" s="658" t="s">
        <v>65</v>
      </c>
      <c r="DR8" s="650" t="s">
        <v>64</v>
      </c>
      <c r="DS8" s="662" t="s">
        <v>65</v>
      </c>
      <c r="DT8" s="660" t="s">
        <v>64</v>
      </c>
      <c r="DU8" s="648" t="s">
        <v>65</v>
      </c>
      <c r="DV8" s="664" t="s">
        <v>106</v>
      </c>
      <c r="DW8" s="664" t="s">
        <v>64</v>
      </c>
      <c r="DX8" s="662" t="s">
        <v>65</v>
      </c>
      <c r="DY8" s="650" t="s">
        <v>106</v>
      </c>
      <c r="DZ8" s="664" t="s">
        <v>64</v>
      </c>
      <c r="EA8" s="662" t="s">
        <v>65</v>
      </c>
      <c r="EB8" s="660" t="s">
        <v>106</v>
      </c>
      <c r="EC8" s="664" t="s">
        <v>64</v>
      </c>
      <c r="ED8" s="664" t="s">
        <v>65</v>
      </c>
      <c r="EE8" s="664" t="s">
        <v>106</v>
      </c>
      <c r="EF8" s="664" t="s">
        <v>64</v>
      </c>
      <c r="EG8" s="664" t="s">
        <v>65</v>
      </c>
      <c r="EH8" s="664" t="s">
        <v>106</v>
      </c>
      <c r="EI8" s="648" t="s">
        <v>64</v>
      </c>
      <c r="EJ8" s="658" t="s">
        <v>65</v>
      </c>
      <c r="EK8" s="673" t="s">
        <v>106</v>
      </c>
      <c r="EL8" s="675" t="s">
        <v>64</v>
      </c>
      <c r="EM8" s="679" t="s">
        <v>65</v>
      </c>
      <c r="EN8" s="727" t="s">
        <v>64</v>
      </c>
      <c r="EO8" s="729" t="s">
        <v>65</v>
      </c>
      <c r="EP8" s="650" t="s">
        <v>107</v>
      </c>
      <c r="EQ8" s="664" t="s">
        <v>108</v>
      </c>
      <c r="ER8" s="664" t="s">
        <v>109</v>
      </c>
      <c r="ES8" s="662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702"/>
      <c r="B9" s="705"/>
      <c r="C9" s="668"/>
      <c r="D9" s="698"/>
      <c r="E9" s="668"/>
      <c r="F9" s="698"/>
      <c r="G9" s="661"/>
      <c r="H9" s="669"/>
      <c r="I9" s="669"/>
      <c r="J9" s="695"/>
      <c r="K9" s="668"/>
      <c r="L9" s="669"/>
      <c r="M9" s="669"/>
      <c r="N9" s="698"/>
      <c r="O9" s="668"/>
      <c r="P9" s="669"/>
      <c r="Q9" s="669"/>
      <c r="R9" s="698"/>
      <c r="S9" s="668"/>
      <c r="T9" s="669"/>
      <c r="U9" s="669"/>
      <c r="V9" s="698"/>
      <c r="W9" s="668"/>
      <c r="X9" s="669"/>
      <c r="Y9" s="669"/>
      <c r="Z9" s="698"/>
      <c r="AA9" s="668"/>
      <c r="AB9" s="669"/>
      <c r="AC9" s="669"/>
      <c r="AD9" s="698"/>
      <c r="AE9" s="668"/>
      <c r="AF9" s="669"/>
      <c r="AG9" s="669"/>
      <c r="AH9" s="669"/>
      <c r="AI9" s="698"/>
      <c r="AJ9" s="668"/>
      <c r="AK9" s="669"/>
      <c r="AL9" s="669"/>
      <c r="AM9" s="695"/>
      <c r="AN9" s="669"/>
      <c r="AO9" s="669"/>
      <c r="AP9" s="669"/>
      <c r="AQ9" s="769"/>
      <c r="AR9" s="23"/>
      <c r="AS9" s="709"/>
      <c r="AT9" s="669"/>
      <c r="AU9" s="669"/>
      <c r="AV9" s="669"/>
      <c r="AW9" s="769"/>
      <c r="AX9" s="669"/>
      <c r="AY9" s="14" t="s">
        <v>111</v>
      </c>
      <c r="AZ9" s="14" t="s">
        <v>112</v>
      </c>
      <c r="BA9" s="669"/>
      <c r="BB9" s="669"/>
      <c r="BC9" s="766"/>
      <c r="BD9" s="766"/>
      <c r="BE9" s="669"/>
      <c r="BF9" s="769"/>
      <c r="BG9" s="23"/>
      <c r="BH9" s="23"/>
      <c r="BI9" s="23"/>
      <c r="BJ9" s="669"/>
      <c r="BK9" s="669"/>
      <c r="BL9" s="669"/>
      <c r="BM9" s="769"/>
      <c r="BN9" s="669"/>
      <c r="BO9" s="669"/>
      <c r="BP9" s="669"/>
      <c r="BQ9" s="669"/>
      <c r="BR9" s="769"/>
      <c r="BS9" s="669"/>
      <c r="BT9" s="669"/>
      <c r="BU9" s="769"/>
      <c r="BV9" s="669"/>
      <c r="BW9" s="698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659"/>
      <c r="DQ9" s="659"/>
      <c r="DR9" s="668"/>
      <c r="DS9" s="663"/>
      <c r="DT9" s="661"/>
      <c r="DU9" s="649"/>
      <c r="DV9" s="669"/>
      <c r="DW9" s="669"/>
      <c r="DX9" s="663"/>
      <c r="DY9" s="668"/>
      <c r="DZ9" s="669"/>
      <c r="EA9" s="663"/>
      <c r="EB9" s="661"/>
      <c r="EC9" s="669"/>
      <c r="ED9" s="669"/>
      <c r="EE9" s="669"/>
      <c r="EF9" s="669"/>
      <c r="EG9" s="669"/>
      <c r="EH9" s="669"/>
      <c r="EI9" s="649"/>
      <c r="EJ9" s="659"/>
      <c r="EK9" s="674"/>
      <c r="EL9" s="676"/>
      <c r="EM9" s="680"/>
      <c r="EN9" s="728"/>
      <c r="EO9" s="730"/>
      <c r="EP9" s="668"/>
      <c r="EQ9" s="669"/>
      <c r="ER9" s="669"/>
      <c r="ES9" s="663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  <mergeCell ref="DY8:DY9"/>
    <mergeCell ref="DX8:DX9"/>
    <mergeCell ref="DR8:DR9"/>
    <mergeCell ref="DT8:DT9"/>
    <mergeCell ref="EH8:EH9"/>
    <mergeCell ref="EI8:EI9"/>
    <mergeCell ref="DU8:DU9"/>
    <mergeCell ref="DZ8:DZ9"/>
    <mergeCell ref="EE4:EG6"/>
    <mergeCell ref="EG8:EG9"/>
    <mergeCell ref="EF8:EF9"/>
    <mergeCell ref="EB8:EB9"/>
    <mergeCell ref="EC8:EC9"/>
    <mergeCell ref="ED8:ED9"/>
    <mergeCell ref="EE8:EE9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0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700" t="s">
        <v>1</v>
      </c>
      <c r="B4" s="703" t="s">
        <v>2</v>
      </c>
      <c r="C4" s="650" t="s">
        <v>3</v>
      </c>
      <c r="D4" s="662"/>
      <c r="E4" s="650" t="s">
        <v>4</v>
      </c>
      <c r="F4" s="712"/>
      <c r="G4" s="660" t="s">
        <v>5</v>
      </c>
      <c r="H4" s="664"/>
      <c r="I4" s="664"/>
      <c r="J4" s="648"/>
      <c r="K4" s="650" t="s">
        <v>6</v>
      </c>
      <c r="L4" s="664"/>
      <c r="M4" s="664"/>
      <c r="N4" s="662"/>
      <c r="O4" s="650" t="s">
        <v>7</v>
      </c>
      <c r="P4" s="664"/>
      <c r="Q4" s="664"/>
      <c r="R4" s="662"/>
      <c r="S4" s="650" t="s">
        <v>8</v>
      </c>
      <c r="T4" s="664"/>
      <c r="U4" s="664"/>
      <c r="V4" s="662"/>
      <c r="W4" s="650" t="s">
        <v>9</v>
      </c>
      <c r="X4" s="664"/>
      <c r="Y4" s="664"/>
      <c r="Z4" s="662"/>
      <c r="AA4" s="650" t="s">
        <v>150</v>
      </c>
      <c r="AB4" s="664"/>
      <c r="AC4" s="664"/>
      <c r="AD4" s="662"/>
      <c r="AE4" s="650" t="s">
        <v>10</v>
      </c>
      <c r="AF4" s="664"/>
      <c r="AG4" s="664"/>
      <c r="AH4" s="664"/>
      <c r="AI4" s="662"/>
      <c r="AJ4" s="650" t="s">
        <v>11</v>
      </c>
      <c r="AK4" s="664"/>
      <c r="AL4" s="664"/>
      <c r="AM4" s="648"/>
      <c r="AN4" s="654" t="s">
        <v>12</v>
      </c>
      <c r="AO4" s="654"/>
      <c r="AP4" s="654"/>
      <c r="AQ4" s="654"/>
      <c r="AR4" s="5"/>
      <c r="AS4" s="5"/>
      <c r="AT4" s="664" t="s">
        <v>13</v>
      </c>
      <c r="AU4" s="664"/>
      <c r="AV4" s="664"/>
      <c r="AW4" s="664"/>
      <c r="AX4" s="664" t="s">
        <v>14</v>
      </c>
      <c r="AY4" s="664"/>
      <c r="AZ4" s="664"/>
      <c r="BA4" s="664"/>
      <c r="BB4" s="664"/>
      <c r="BC4" s="715" t="s">
        <v>15</v>
      </c>
      <c r="BD4" s="715"/>
      <c r="BE4" s="715"/>
      <c r="BF4" s="715"/>
      <c r="BG4" s="6"/>
      <c r="BH4" s="7"/>
      <c r="BI4" s="7"/>
      <c r="BJ4" s="664" t="s">
        <v>16</v>
      </c>
      <c r="BK4" s="664"/>
      <c r="BL4" s="664"/>
      <c r="BM4" s="664"/>
      <c r="BN4" s="664" t="s">
        <v>17</v>
      </c>
      <c r="BO4" s="664"/>
      <c r="BP4" s="664"/>
      <c r="BQ4" s="664"/>
      <c r="BR4" s="664"/>
      <c r="BS4" s="685" t="s">
        <v>18</v>
      </c>
      <c r="BT4" s="685"/>
      <c r="BU4" s="685"/>
      <c r="BV4" s="664" t="s">
        <v>19</v>
      </c>
      <c r="BW4" s="648"/>
      <c r="BX4" s="650" t="s">
        <v>20</v>
      </c>
      <c r="BY4" s="664"/>
      <c r="BZ4" s="664"/>
      <c r="CA4" s="664"/>
      <c r="CB4" s="664"/>
      <c r="CC4" s="664"/>
      <c r="CD4" s="664"/>
      <c r="CE4" s="664"/>
      <c r="CF4" s="664"/>
      <c r="CG4" s="664"/>
      <c r="CH4" s="664"/>
      <c r="CI4" s="664"/>
      <c r="CJ4" s="664"/>
      <c r="CK4" s="664"/>
      <c r="CL4" s="664"/>
      <c r="CM4" s="662"/>
      <c r="CN4" s="660" t="s">
        <v>21</v>
      </c>
      <c r="CO4" s="664"/>
      <c r="CP4" s="664"/>
      <c r="CQ4" s="664"/>
      <c r="CR4" s="664"/>
      <c r="CS4" s="664"/>
      <c r="CT4" s="664"/>
      <c r="CU4" s="664"/>
      <c r="CV4" s="664"/>
      <c r="CW4" s="664"/>
      <c r="CX4" s="664"/>
      <c r="CY4" s="664"/>
      <c r="CZ4" s="664"/>
      <c r="DA4" s="664"/>
      <c r="DB4" s="664"/>
      <c r="DC4" s="648"/>
      <c r="DD4" s="650" t="s">
        <v>22</v>
      </c>
      <c r="DE4" s="664"/>
      <c r="DF4" s="664"/>
      <c r="DG4" s="664"/>
      <c r="DH4" s="664"/>
      <c r="DI4" s="664"/>
      <c r="DJ4" s="664"/>
      <c r="DK4" s="664"/>
      <c r="DL4" s="664"/>
      <c r="DM4" s="664"/>
      <c r="DN4" s="664"/>
      <c r="DO4" s="662"/>
      <c r="DP4" s="650" t="s">
        <v>23</v>
      </c>
      <c r="DQ4" s="662"/>
      <c r="DR4" s="650" t="s">
        <v>24</v>
      </c>
      <c r="DS4" s="662"/>
      <c r="DT4" s="660" t="s">
        <v>25</v>
      </c>
      <c r="DU4" s="648"/>
      <c r="DV4" s="664" t="s">
        <v>26</v>
      </c>
      <c r="DW4" s="664"/>
      <c r="DX4" s="662"/>
      <c r="DY4" s="650" t="s">
        <v>27</v>
      </c>
      <c r="DZ4" s="664"/>
      <c r="EA4" s="662"/>
      <c r="EB4" s="660" t="s">
        <v>28</v>
      </c>
      <c r="EC4" s="664"/>
      <c r="ED4" s="664"/>
      <c r="EE4" s="664" t="s">
        <v>29</v>
      </c>
      <c r="EF4" s="664"/>
      <c r="EG4" s="664"/>
      <c r="EH4" s="664" t="s">
        <v>30</v>
      </c>
      <c r="EI4" s="664"/>
      <c r="EJ4" s="648"/>
      <c r="EK4" s="650" t="s">
        <v>31</v>
      </c>
      <c r="EL4" s="664"/>
      <c r="EM4" s="662"/>
      <c r="EN4" s="719" t="s">
        <v>160</v>
      </c>
      <c r="EO4" s="720"/>
      <c r="EP4" s="650" t="s">
        <v>32</v>
      </c>
      <c r="EQ4" s="664"/>
      <c r="ER4" s="662"/>
    </row>
    <row r="5" spans="1:148" s="11" customFormat="1" ht="15.75">
      <c r="A5" s="701"/>
      <c r="B5" s="704"/>
      <c r="C5" s="665"/>
      <c r="D5" s="667"/>
      <c r="E5" s="701"/>
      <c r="F5" s="713"/>
      <c r="G5" s="681"/>
      <c r="H5" s="666"/>
      <c r="I5" s="666"/>
      <c r="J5" s="677"/>
      <c r="K5" s="665"/>
      <c r="L5" s="666"/>
      <c r="M5" s="666"/>
      <c r="N5" s="667"/>
      <c r="O5" s="665"/>
      <c r="P5" s="666"/>
      <c r="Q5" s="666"/>
      <c r="R5" s="667"/>
      <c r="S5" s="665"/>
      <c r="T5" s="666"/>
      <c r="U5" s="666"/>
      <c r="V5" s="667"/>
      <c r="W5" s="665"/>
      <c r="X5" s="666"/>
      <c r="Y5" s="666"/>
      <c r="Z5" s="667"/>
      <c r="AA5" s="665"/>
      <c r="AB5" s="666"/>
      <c r="AC5" s="666"/>
      <c r="AD5" s="667"/>
      <c r="AE5" s="665"/>
      <c r="AF5" s="666"/>
      <c r="AG5" s="666"/>
      <c r="AH5" s="666"/>
      <c r="AI5" s="667"/>
      <c r="AJ5" s="665"/>
      <c r="AK5" s="666"/>
      <c r="AL5" s="666"/>
      <c r="AM5" s="677"/>
      <c r="AN5" s="718"/>
      <c r="AO5" s="718"/>
      <c r="AP5" s="718"/>
      <c r="AQ5" s="718"/>
      <c r="AR5" s="8"/>
      <c r="AS5" s="8"/>
      <c r="AT5" s="666"/>
      <c r="AU5" s="666"/>
      <c r="AV5" s="666"/>
      <c r="AW5" s="666"/>
      <c r="AX5" s="666"/>
      <c r="AY5" s="666"/>
      <c r="AZ5" s="666"/>
      <c r="BA5" s="666"/>
      <c r="BB5" s="666"/>
      <c r="BC5" s="716"/>
      <c r="BD5" s="716"/>
      <c r="BE5" s="716"/>
      <c r="BF5" s="716"/>
      <c r="BG5" s="9"/>
      <c r="BH5" s="10"/>
      <c r="BI5" s="10"/>
      <c r="BJ5" s="666"/>
      <c r="BK5" s="666"/>
      <c r="BL5" s="666"/>
      <c r="BM5" s="666"/>
      <c r="BN5" s="666"/>
      <c r="BO5" s="666"/>
      <c r="BP5" s="666"/>
      <c r="BQ5" s="666"/>
      <c r="BR5" s="666"/>
      <c r="BS5" s="686"/>
      <c r="BT5" s="686"/>
      <c r="BU5" s="686"/>
      <c r="BV5" s="666"/>
      <c r="BW5" s="677"/>
      <c r="BX5" s="665"/>
      <c r="BY5" s="666"/>
      <c r="BZ5" s="666"/>
      <c r="CA5" s="666"/>
      <c r="CB5" s="666"/>
      <c r="CC5" s="666"/>
      <c r="CD5" s="666"/>
      <c r="CE5" s="666"/>
      <c r="CF5" s="666"/>
      <c r="CG5" s="666"/>
      <c r="CH5" s="666"/>
      <c r="CI5" s="666"/>
      <c r="CJ5" s="666"/>
      <c r="CK5" s="666"/>
      <c r="CL5" s="666"/>
      <c r="CM5" s="667"/>
      <c r="CN5" s="681"/>
      <c r="CO5" s="666"/>
      <c r="CP5" s="666"/>
      <c r="CQ5" s="666"/>
      <c r="CR5" s="666"/>
      <c r="CS5" s="666"/>
      <c r="CT5" s="666"/>
      <c r="CU5" s="666"/>
      <c r="CV5" s="666"/>
      <c r="CW5" s="666"/>
      <c r="CX5" s="666"/>
      <c r="CY5" s="666"/>
      <c r="CZ5" s="666"/>
      <c r="DA5" s="666"/>
      <c r="DB5" s="666"/>
      <c r="DC5" s="677"/>
      <c r="DD5" s="665"/>
      <c r="DE5" s="666"/>
      <c r="DF5" s="666"/>
      <c r="DG5" s="666"/>
      <c r="DH5" s="666"/>
      <c r="DI5" s="666"/>
      <c r="DJ5" s="666"/>
      <c r="DK5" s="666"/>
      <c r="DL5" s="666"/>
      <c r="DM5" s="666"/>
      <c r="DN5" s="666"/>
      <c r="DO5" s="667"/>
      <c r="DP5" s="665"/>
      <c r="DQ5" s="667"/>
      <c r="DR5" s="665"/>
      <c r="DS5" s="667"/>
      <c r="DT5" s="681"/>
      <c r="DU5" s="677"/>
      <c r="DV5" s="666"/>
      <c r="DW5" s="666"/>
      <c r="DX5" s="667"/>
      <c r="DY5" s="665"/>
      <c r="DZ5" s="666"/>
      <c r="EA5" s="667"/>
      <c r="EB5" s="681"/>
      <c r="EC5" s="666"/>
      <c r="ED5" s="666"/>
      <c r="EE5" s="666"/>
      <c r="EF5" s="666"/>
      <c r="EG5" s="666"/>
      <c r="EH5" s="666"/>
      <c r="EI5" s="666"/>
      <c r="EJ5" s="677"/>
      <c r="EK5" s="665"/>
      <c r="EL5" s="666"/>
      <c r="EM5" s="667"/>
      <c r="EN5" s="721"/>
      <c r="EO5" s="722"/>
      <c r="EP5" s="665"/>
      <c r="EQ5" s="666"/>
      <c r="ER5" s="667"/>
    </row>
    <row r="6" spans="1:148" s="16" customFormat="1" ht="153" customHeight="1" thickBot="1">
      <c r="A6" s="701"/>
      <c r="B6" s="704"/>
      <c r="C6" s="668"/>
      <c r="D6" s="663"/>
      <c r="E6" s="702"/>
      <c r="F6" s="714"/>
      <c r="G6" s="661"/>
      <c r="H6" s="669"/>
      <c r="I6" s="669"/>
      <c r="J6" s="649"/>
      <c r="K6" s="668"/>
      <c r="L6" s="669"/>
      <c r="M6" s="669"/>
      <c r="N6" s="663"/>
      <c r="O6" s="668"/>
      <c r="P6" s="669"/>
      <c r="Q6" s="669"/>
      <c r="R6" s="663"/>
      <c r="S6" s="668"/>
      <c r="T6" s="669"/>
      <c r="U6" s="669"/>
      <c r="V6" s="663"/>
      <c r="W6" s="668"/>
      <c r="X6" s="669"/>
      <c r="Y6" s="669"/>
      <c r="Z6" s="663"/>
      <c r="AA6" s="668"/>
      <c r="AB6" s="669"/>
      <c r="AC6" s="669"/>
      <c r="AD6" s="663"/>
      <c r="AE6" s="668"/>
      <c r="AF6" s="669"/>
      <c r="AG6" s="669"/>
      <c r="AH6" s="669"/>
      <c r="AI6" s="663"/>
      <c r="AJ6" s="668"/>
      <c r="AK6" s="669"/>
      <c r="AL6" s="669"/>
      <c r="AM6" s="649"/>
      <c r="AN6" s="655"/>
      <c r="AO6" s="655"/>
      <c r="AP6" s="655"/>
      <c r="AQ6" s="655"/>
      <c r="AR6" s="13"/>
      <c r="AS6" s="13"/>
      <c r="AT6" s="669"/>
      <c r="AU6" s="669"/>
      <c r="AV6" s="669"/>
      <c r="AW6" s="669"/>
      <c r="AX6" s="669"/>
      <c r="AY6" s="669"/>
      <c r="AZ6" s="669"/>
      <c r="BA6" s="669"/>
      <c r="BB6" s="669"/>
      <c r="BC6" s="717"/>
      <c r="BD6" s="717"/>
      <c r="BE6" s="717"/>
      <c r="BF6" s="717"/>
      <c r="BG6" s="14"/>
      <c r="BH6" s="15"/>
      <c r="BI6" s="15"/>
      <c r="BJ6" s="669"/>
      <c r="BK6" s="669"/>
      <c r="BL6" s="669"/>
      <c r="BM6" s="669"/>
      <c r="BN6" s="669"/>
      <c r="BO6" s="669"/>
      <c r="BP6" s="669"/>
      <c r="BQ6" s="669"/>
      <c r="BR6" s="669"/>
      <c r="BS6" s="687"/>
      <c r="BT6" s="687"/>
      <c r="BU6" s="687"/>
      <c r="BV6" s="669"/>
      <c r="BW6" s="649"/>
      <c r="BX6" s="668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69"/>
      <c r="CM6" s="663"/>
      <c r="CN6" s="661"/>
      <c r="CO6" s="669"/>
      <c r="CP6" s="669"/>
      <c r="CQ6" s="669"/>
      <c r="CR6" s="669"/>
      <c r="CS6" s="669"/>
      <c r="CT6" s="669"/>
      <c r="CU6" s="669"/>
      <c r="CV6" s="669"/>
      <c r="CW6" s="669"/>
      <c r="CX6" s="669"/>
      <c r="CY6" s="669"/>
      <c r="CZ6" s="669"/>
      <c r="DA6" s="669"/>
      <c r="DB6" s="669"/>
      <c r="DC6" s="649"/>
      <c r="DD6" s="668"/>
      <c r="DE6" s="669"/>
      <c r="DF6" s="669"/>
      <c r="DG6" s="669"/>
      <c r="DH6" s="669"/>
      <c r="DI6" s="669"/>
      <c r="DJ6" s="669"/>
      <c r="DK6" s="669"/>
      <c r="DL6" s="669"/>
      <c r="DM6" s="669"/>
      <c r="DN6" s="669"/>
      <c r="DO6" s="663"/>
      <c r="DP6" s="668"/>
      <c r="DQ6" s="663"/>
      <c r="DR6" s="668"/>
      <c r="DS6" s="663"/>
      <c r="DT6" s="661"/>
      <c r="DU6" s="649"/>
      <c r="DV6" s="669"/>
      <c r="DW6" s="669"/>
      <c r="DX6" s="663"/>
      <c r="DY6" s="668"/>
      <c r="DZ6" s="669"/>
      <c r="EA6" s="663"/>
      <c r="EB6" s="661"/>
      <c r="EC6" s="669"/>
      <c r="ED6" s="669"/>
      <c r="EE6" s="669"/>
      <c r="EF6" s="669"/>
      <c r="EG6" s="669"/>
      <c r="EH6" s="669"/>
      <c r="EI6" s="669"/>
      <c r="EJ6" s="649"/>
      <c r="EK6" s="668"/>
      <c r="EL6" s="669"/>
      <c r="EM6" s="663"/>
      <c r="EN6" s="723"/>
      <c r="EO6" s="724"/>
      <c r="EP6" s="665"/>
      <c r="EQ6" s="666"/>
      <c r="ER6" s="667"/>
    </row>
    <row r="7" spans="1:148" s="16" customFormat="1" ht="16.5" thickBot="1">
      <c r="A7" s="701"/>
      <c r="B7" s="704"/>
      <c r="C7" s="670" t="s">
        <v>33</v>
      </c>
      <c r="D7" s="672"/>
      <c r="E7" s="670" t="s">
        <v>34</v>
      </c>
      <c r="F7" s="672"/>
      <c r="G7" s="682" t="s">
        <v>35</v>
      </c>
      <c r="H7" s="671"/>
      <c r="I7" s="671"/>
      <c r="J7" s="678"/>
      <c r="K7" s="670" t="s">
        <v>36</v>
      </c>
      <c r="L7" s="671"/>
      <c r="M7" s="671"/>
      <c r="N7" s="672"/>
      <c r="O7" s="670" t="s">
        <v>37</v>
      </c>
      <c r="P7" s="671"/>
      <c r="Q7" s="671"/>
      <c r="R7" s="672"/>
      <c r="S7" s="670" t="s">
        <v>38</v>
      </c>
      <c r="T7" s="671"/>
      <c r="U7" s="671"/>
      <c r="V7" s="672"/>
      <c r="W7" s="670" t="s">
        <v>39</v>
      </c>
      <c r="X7" s="671"/>
      <c r="Y7" s="671"/>
      <c r="Z7" s="672"/>
      <c r="AA7" s="670" t="s">
        <v>40</v>
      </c>
      <c r="AB7" s="671"/>
      <c r="AC7" s="671"/>
      <c r="AD7" s="672"/>
      <c r="AE7" s="670" t="s">
        <v>41</v>
      </c>
      <c r="AF7" s="671"/>
      <c r="AG7" s="671"/>
      <c r="AH7" s="671"/>
      <c r="AI7" s="672"/>
      <c r="AJ7" s="670" t="s">
        <v>42</v>
      </c>
      <c r="AK7" s="671"/>
      <c r="AL7" s="671"/>
      <c r="AM7" s="678"/>
      <c r="AN7" s="690" t="s">
        <v>43</v>
      </c>
      <c r="AO7" s="690"/>
      <c r="AP7" s="690"/>
      <c r="AQ7" s="690"/>
      <c r="AR7" s="17"/>
      <c r="AS7" s="17"/>
      <c r="AT7" s="671" t="s">
        <v>44</v>
      </c>
      <c r="AU7" s="671"/>
      <c r="AV7" s="671"/>
      <c r="AW7" s="671"/>
      <c r="AX7" s="671" t="s">
        <v>45</v>
      </c>
      <c r="AY7" s="671"/>
      <c r="AZ7" s="671"/>
      <c r="BA7" s="671"/>
      <c r="BB7" s="671"/>
      <c r="BC7" s="671" t="s">
        <v>46</v>
      </c>
      <c r="BD7" s="671"/>
      <c r="BE7" s="671"/>
      <c r="BF7" s="671"/>
      <c r="BG7" s="18"/>
      <c r="BH7" s="19"/>
      <c r="BI7" s="19"/>
      <c r="BJ7" s="671" t="s">
        <v>47</v>
      </c>
      <c r="BK7" s="671"/>
      <c r="BL7" s="671"/>
      <c r="BM7" s="671"/>
      <c r="BN7" s="683" t="s">
        <v>48</v>
      </c>
      <c r="BO7" s="683"/>
      <c r="BP7" s="683"/>
      <c r="BQ7" s="683"/>
      <c r="BR7" s="683"/>
      <c r="BS7" s="671" t="s">
        <v>49</v>
      </c>
      <c r="BT7" s="671"/>
      <c r="BU7" s="671"/>
      <c r="BV7" s="671" t="s">
        <v>50</v>
      </c>
      <c r="BW7" s="678"/>
      <c r="BX7" s="670" t="s">
        <v>51</v>
      </c>
      <c r="BY7" s="671"/>
      <c r="BZ7" s="671"/>
      <c r="CA7" s="671"/>
      <c r="CB7" s="671"/>
      <c r="CC7" s="671"/>
      <c r="CD7" s="671"/>
      <c r="CE7" s="671"/>
      <c r="CF7" s="671"/>
      <c r="CG7" s="671"/>
      <c r="CH7" s="671"/>
      <c r="CI7" s="671"/>
      <c r="CJ7" s="671"/>
      <c r="CK7" s="671"/>
      <c r="CL7" s="671"/>
      <c r="CM7" s="672"/>
      <c r="CN7" s="682" t="s">
        <v>52</v>
      </c>
      <c r="CO7" s="671"/>
      <c r="CP7" s="671"/>
      <c r="CQ7" s="671"/>
      <c r="CR7" s="671"/>
      <c r="CS7" s="671"/>
      <c r="CT7" s="671"/>
      <c r="CU7" s="671"/>
      <c r="CV7" s="671"/>
      <c r="CW7" s="671"/>
      <c r="CX7" s="671"/>
      <c r="CY7" s="671"/>
      <c r="CZ7" s="671"/>
      <c r="DA7" s="671"/>
      <c r="DB7" s="671"/>
      <c r="DC7" s="678"/>
      <c r="DD7" s="670" t="s">
        <v>53</v>
      </c>
      <c r="DE7" s="671"/>
      <c r="DF7" s="671"/>
      <c r="DG7" s="671"/>
      <c r="DH7" s="671"/>
      <c r="DI7" s="671"/>
      <c r="DJ7" s="671"/>
      <c r="DK7" s="671"/>
      <c r="DL7" s="671"/>
      <c r="DM7" s="671"/>
      <c r="DN7" s="671"/>
      <c r="DO7" s="672"/>
      <c r="DP7" s="670" t="s">
        <v>54</v>
      </c>
      <c r="DQ7" s="672"/>
      <c r="DR7" s="670" t="s">
        <v>55</v>
      </c>
      <c r="DS7" s="672"/>
      <c r="DT7" s="682" t="s">
        <v>56</v>
      </c>
      <c r="DU7" s="678"/>
      <c r="DV7" s="671" t="s">
        <v>57</v>
      </c>
      <c r="DW7" s="671"/>
      <c r="DX7" s="672"/>
      <c r="DY7" s="670" t="s">
        <v>58</v>
      </c>
      <c r="DZ7" s="671"/>
      <c r="EA7" s="672"/>
      <c r="EB7" s="682" t="s">
        <v>59</v>
      </c>
      <c r="EC7" s="671"/>
      <c r="ED7" s="671"/>
      <c r="EE7" s="671" t="s">
        <v>60</v>
      </c>
      <c r="EF7" s="671"/>
      <c r="EG7" s="671"/>
      <c r="EH7" s="671" t="s">
        <v>61</v>
      </c>
      <c r="EI7" s="671"/>
      <c r="EJ7" s="678"/>
      <c r="EK7" s="670" t="s">
        <v>63</v>
      </c>
      <c r="EL7" s="671"/>
      <c r="EM7" s="672"/>
      <c r="EN7" s="725" t="s">
        <v>62</v>
      </c>
      <c r="EO7" s="726"/>
      <c r="EP7" s="651"/>
      <c r="EQ7" s="684"/>
      <c r="ER7" s="706"/>
    </row>
    <row r="8" spans="1:148" s="16" customFormat="1" ht="111.75" customHeight="1" thickBot="1">
      <c r="A8" s="701"/>
      <c r="B8" s="704"/>
      <c r="C8" s="650" t="s">
        <v>64</v>
      </c>
      <c r="D8" s="697" t="s">
        <v>65</v>
      </c>
      <c r="E8" s="650" t="s">
        <v>64</v>
      </c>
      <c r="F8" s="697" t="s">
        <v>65</v>
      </c>
      <c r="G8" s="660" t="s">
        <v>66</v>
      </c>
      <c r="H8" s="664" t="s">
        <v>67</v>
      </c>
      <c r="I8" s="664" t="s">
        <v>64</v>
      </c>
      <c r="J8" s="694" t="s">
        <v>65</v>
      </c>
      <c r="K8" s="650" t="s">
        <v>67</v>
      </c>
      <c r="L8" s="664" t="s">
        <v>68</v>
      </c>
      <c r="M8" s="664" t="s">
        <v>64</v>
      </c>
      <c r="N8" s="697" t="s">
        <v>65</v>
      </c>
      <c r="O8" s="650" t="s">
        <v>67</v>
      </c>
      <c r="P8" s="664" t="s">
        <v>69</v>
      </c>
      <c r="Q8" s="664" t="s">
        <v>64</v>
      </c>
      <c r="R8" s="697" t="s">
        <v>65</v>
      </c>
      <c r="S8" s="650" t="s">
        <v>70</v>
      </c>
      <c r="T8" s="664" t="s">
        <v>71</v>
      </c>
      <c r="U8" s="664" t="s">
        <v>64</v>
      </c>
      <c r="V8" s="697" t="s">
        <v>65</v>
      </c>
      <c r="W8" s="650" t="s">
        <v>72</v>
      </c>
      <c r="X8" s="664" t="s">
        <v>73</v>
      </c>
      <c r="Y8" s="664" t="s">
        <v>64</v>
      </c>
      <c r="Z8" s="697" t="s">
        <v>65</v>
      </c>
      <c r="AA8" s="650" t="s">
        <v>74</v>
      </c>
      <c r="AB8" s="664" t="s">
        <v>75</v>
      </c>
      <c r="AC8" s="664" t="s">
        <v>64</v>
      </c>
      <c r="AD8" s="697" t="s">
        <v>65</v>
      </c>
      <c r="AE8" s="650" t="s">
        <v>76</v>
      </c>
      <c r="AF8" s="664" t="s">
        <v>77</v>
      </c>
      <c r="AG8" s="664" t="s">
        <v>78</v>
      </c>
      <c r="AH8" s="664" t="s">
        <v>64</v>
      </c>
      <c r="AI8" s="697" t="s">
        <v>65</v>
      </c>
      <c r="AJ8" s="650" t="s">
        <v>154</v>
      </c>
      <c r="AK8" s="664" t="s">
        <v>155</v>
      </c>
      <c r="AL8" s="664" t="s">
        <v>64</v>
      </c>
      <c r="AM8" s="694" t="s">
        <v>65</v>
      </c>
      <c r="AN8" s="654" t="s">
        <v>79</v>
      </c>
      <c r="AO8" s="654" t="s">
        <v>80</v>
      </c>
      <c r="AP8" s="654" t="s">
        <v>64</v>
      </c>
      <c r="AQ8" s="652" t="s">
        <v>81</v>
      </c>
      <c r="AR8" s="20"/>
      <c r="AS8" s="708" t="s">
        <v>82</v>
      </c>
      <c r="AT8" s="664" t="s">
        <v>82</v>
      </c>
      <c r="AU8" s="664" t="s">
        <v>83</v>
      </c>
      <c r="AV8" s="664" t="s">
        <v>64</v>
      </c>
      <c r="AW8" s="652" t="s">
        <v>65</v>
      </c>
      <c r="AX8" s="664" t="s">
        <v>84</v>
      </c>
      <c r="AY8" s="664" t="s">
        <v>85</v>
      </c>
      <c r="AZ8" s="664"/>
      <c r="BA8" s="654" t="s">
        <v>86</v>
      </c>
      <c r="BB8" s="654" t="s">
        <v>87</v>
      </c>
      <c r="BC8" s="664" t="s">
        <v>88</v>
      </c>
      <c r="BD8" s="664" t="s">
        <v>89</v>
      </c>
      <c r="BE8" s="664" t="s">
        <v>64</v>
      </c>
      <c r="BF8" s="652" t="s">
        <v>65</v>
      </c>
      <c r="BG8" s="21"/>
      <c r="BH8" s="21"/>
      <c r="BI8" s="21"/>
      <c r="BJ8" s="654" t="s">
        <v>90</v>
      </c>
      <c r="BK8" s="664" t="s">
        <v>91</v>
      </c>
      <c r="BL8" s="664" t="s">
        <v>64</v>
      </c>
      <c r="BM8" s="652" t="s">
        <v>65</v>
      </c>
      <c r="BN8" s="654" t="s">
        <v>92</v>
      </c>
      <c r="BO8" s="664" t="s">
        <v>93</v>
      </c>
      <c r="BP8" s="664" t="s">
        <v>94</v>
      </c>
      <c r="BQ8" s="664" t="s">
        <v>64</v>
      </c>
      <c r="BR8" s="652" t="s">
        <v>65</v>
      </c>
      <c r="BS8" s="654" t="s">
        <v>95</v>
      </c>
      <c r="BT8" s="656" t="s">
        <v>64</v>
      </c>
      <c r="BU8" s="652" t="s">
        <v>65</v>
      </c>
      <c r="BV8" s="664" t="s">
        <v>64</v>
      </c>
      <c r="BW8" s="692" t="s">
        <v>65</v>
      </c>
      <c r="BX8" s="696" t="s">
        <v>96</v>
      </c>
      <c r="BY8" s="654"/>
      <c r="BZ8" s="654" t="s">
        <v>156</v>
      </c>
      <c r="CA8" s="654"/>
      <c r="CB8" s="688" t="s">
        <v>97</v>
      </c>
      <c r="CC8" s="689"/>
      <c r="CD8" s="654" t="s">
        <v>151</v>
      </c>
      <c r="CE8" s="654"/>
      <c r="CF8" s="654" t="s">
        <v>161</v>
      </c>
      <c r="CG8" s="654"/>
      <c r="CH8" s="675"/>
      <c r="CI8" s="675"/>
      <c r="CJ8" s="654" t="s">
        <v>98</v>
      </c>
      <c r="CK8" s="654"/>
      <c r="CL8" s="654" t="s">
        <v>105</v>
      </c>
      <c r="CM8" s="711"/>
      <c r="CN8" s="660" t="s">
        <v>99</v>
      </c>
      <c r="CO8" s="664"/>
      <c r="CP8" s="710" t="s">
        <v>152</v>
      </c>
      <c r="CQ8" s="710"/>
      <c r="CR8" s="654" t="s">
        <v>157</v>
      </c>
      <c r="CS8" s="654"/>
      <c r="CT8" s="654" t="s">
        <v>153</v>
      </c>
      <c r="CU8" s="654"/>
      <c r="CV8" s="654" t="s">
        <v>162</v>
      </c>
      <c r="CW8" s="654"/>
      <c r="CX8" s="690" t="s">
        <v>100</v>
      </c>
      <c r="CY8" s="690"/>
      <c r="CZ8" s="690" t="s">
        <v>101</v>
      </c>
      <c r="DA8" s="690"/>
      <c r="DB8" s="690" t="s">
        <v>105</v>
      </c>
      <c r="DC8" s="691"/>
      <c r="DD8" s="696" t="s">
        <v>158</v>
      </c>
      <c r="DE8" s="654"/>
      <c r="DF8" s="654" t="s">
        <v>102</v>
      </c>
      <c r="DG8" s="654"/>
      <c r="DH8" s="654" t="s">
        <v>103</v>
      </c>
      <c r="DI8" s="654"/>
      <c r="DJ8" s="654" t="s">
        <v>159</v>
      </c>
      <c r="DK8" s="654"/>
      <c r="DL8" s="654" t="s">
        <v>104</v>
      </c>
      <c r="DM8" s="654"/>
      <c r="DN8" s="654" t="s">
        <v>105</v>
      </c>
      <c r="DO8" s="707"/>
      <c r="DP8" s="658" t="s">
        <v>64</v>
      </c>
      <c r="DQ8" s="658" t="s">
        <v>65</v>
      </c>
      <c r="DR8" s="650" t="s">
        <v>64</v>
      </c>
      <c r="DS8" s="662" t="s">
        <v>65</v>
      </c>
      <c r="DT8" s="660" t="s">
        <v>64</v>
      </c>
      <c r="DU8" s="648" t="s">
        <v>65</v>
      </c>
      <c r="DV8" s="664" t="s">
        <v>106</v>
      </c>
      <c r="DW8" s="664" t="s">
        <v>64</v>
      </c>
      <c r="DX8" s="662" t="s">
        <v>65</v>
      </c>
      <c r="DY8" s="650" t="s">
        <v>106</v>
      </c>
      <c r="DZ8" s="664" t="s">
        <v>64</v>
      </c>
      <c r="EA8" s="662" t="s">
        <v>65</v>
      </c>
      <c r="EB8" s="660" t="s">
        <v>106</v>
      </c>
      <c r="EC8" s="664" t="s">
        <v>64</v>
      </c>
      <c r="ED8" s="664" t="s">
        <v>65</v>
      </c>
      <c r="EE8" s="664" t="s">
        <v>106</v>
      </c>
      <c r="EF8" s="664" t="s">
        <v>64</v>
      </c>
      <c r="EG8" s="664" t="s">
        <v>65</v>
      </c>
      <c r="EH8" s="664" t="s">
        <v>106</v>
      </c>
      <c r="EI8" s="648" t="s">
        <v>64</v>
      </c>
      <c r="EJ8" s="658" t="s">
        <v>65</v>
      </c>
      <c r="EK8" s="673" t="s">
        <v>106</v>
      </c>
      <c r="EL8" s="675" t="s">
        <v>64</v>
      </c>
      <c r="EM8" s="679" t="s">
        <v>65</v>
      </c>
      <c r="EN8" s="727" t="s">
        <v>64</v>
      </c>
      <c r="EO8" s="729" t="s">
        <v>65</v>
      </c>
      <c r="EP8" s="650" t="s">
        <v>107</v>
      </c>
      <c r="EQ8" s="664" t="s">
        <v>108</v>
      </c>
      <c r="ER8" s="662" t="s">
        <v>110</v>
      </c>
    </row>
    <row r="9" spans="1:148" s="11" customFormat="1" ht="96.75" customHeight="1" thickBot="1">
      <c r="A9" s="702"/>
      <c r="B9" s="705"/>
      <c r="C9" s="668"/>
      <c r="D9" s="698"/>
      <c r="E9" s="668"/>
      <c r="F9" s="698"/>
      <c r="G9" s="661"/>
      <c r="H9" s="669"/>
      <c r="I9" s="669"/>
      <c r="J9" s="695"/>
      <c r="K9" s="668"/>
      <c r="L9" s="669"/>
      <c r="M9" s="669"/>
      <c r="N9" s="698"/>
      <c r="O9" s="668"/>
      <c r="P9" s="669"/>
      <c r="Q9" s="669"/>
      <c r="R9" s="698"/>
      <c r="S9" s="668"/>
      <c r="T9" s="669"/>
      <c r="U9" s="669"/>
      <c r="V9" s="698"/>
      <c r="W9" s="668"/>
      <c r="X9" s="669"/>
      <c r="Y9" s="669"/>
      <c r="Z9" s="698"/>
      <c r="AA9" s="668"/>
      <c r="AB9" s="669"/>
      <c r="AC9" s="669"/>
      <c r="AD9" s="699"/>
      <c r="AE9" s="668"/>
      <c r="AF9" s="669"/>
      <c r="AG9" s="669"/>
      <c r="AH9" s="669"/>
      <c r="AI9" s="698"/>
      <c r="AJ9" s="668"/>
      <c r="AK9" s="669"/>
      <c r="AL9" s="669"/>
      <c r="AM9" s="695"/>
      <c r="AN9" s="655"/>
      <c r="AO9" s="655"/>
      <c r="AP9" s="655"/>
      <c r="AQ9" s="653"/>
      <c r="AR9" s="22"/>
      <c r="AS9" s="709"/>
      <c r="AT9" s="669"/>
      <c r="AU9" s="669"/>
      <c r="AV9" s="669"/>
      <c r="AW9" s="653"/>
      <c r="AX9" s="669"/>
      <c r="AY9" s="14" t="s">
        <v>111</v>
      </c>
      <c r="AZ9" s="14" t="s">
        <v>112</v>
      </c>
      <c r="BA9" s="655"/>
      <c r="BB9" s="655"/>
      <c r="BC9" s="669"/>
      <c r="BD9" s="669"/>
      <c r="BE9" s="669"/>
      <c r="BF9" s="653"/>
      <c r="BG9" s="23"/>
      <c r="BH9" s="23"/>
      <c r="BI9" s="23"/>
      <c r="BJ9" s="655"/>
      <c r="BK9" s="669"/>
      <c r="BL9" s="669"/>
      <c r="BM9" s="653"/>
      <c r="BN9" s="655"/>
      <c r="BO9" s="669"/>
      <c r="BP9" s="669"/>
      <c r="BQ9" s="684"/>
      <c r="BR9" s="653"/>
      <c r="BS9" s="655"/>
      <c r="BT9" s="657"/>
      <c r="BU9" s="653"/>
      <c r="BV9" s="684"/>
      <c r="BW9" s="693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659"/>
      <c r="DQ9" s="659"/>
      <c r="DR9" s="651"/>
      <c r="DS9" s="663"/>
      <c r="DT9" s="661"/>
      <c r="DU9" s="649"/>
      <c r="DV9" s="669"/>
      <c r="DW9" s="669"/>
      <c r="DX9" s="663"/>
      <c r="DY9" s="668"/>
      <c r="DZ9" s="669"/>
      <c r="EA9" s="663"/>
      <c r="EB9" s="661"/>
      <c r="EC9" s="669"/>
      <c r="ED9" s="669"/>
      <c r="EE9" s="669"/>
      <c r="EF9" s="669"/>
      <c r="EG9" s="669"/>
      <c r="EH9" s="669"/>
      <c r="EI9" s="649"/>
      <c r="EJ9" s="659"/>
      <c r="EK9" s="674"/>
      <c r="EL9" s="676"/>
      <c r="EM9" s="680"/>
      <c r="EN9" s="728"/>
      <c r="EO9" s="730"/>
      <c r="EP9" s="668"/>
      <c r="EQ9" s="669"/>
      <c r="ER9" s="663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  <mergeCell ref="DV4:DX6"/>
    <mergeCell ref="DV7:DX7"/>
    <mergeCell ref="EN4:EO6"/>
    <mergeCell ref="EN7:EO7"/>
    <mergeCell ref="EB7:ED7"/>
    <mergeCell ref="EB4:ED6"/>
    <mergeCell ref="DY4:EA6"/>
    <mergeCell ref="EH4:EJ6"/>
    <mergeCell ref="AT4:AW6"/>
    <mergeCell ref="BJ4:BM6"/>
    <mergeCell ref="BJ7:BM7"/>
    <mergeCell ref="AX4:BB6"/>
    <mergeCell ref="AX7:BB7"/>
    <mergeCell ref="AN7:AQ7"/>
    <mergeCell ref="AT7:AW7"/>
    <mergeCell ref="BC4:BF6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E8:E9"/>
    <mergeCell ref="F8:F9"/>
    <mergeCell ref="C4:D6"/>
    <mergeCell ref="E4:F6"/>
    <mergeCell ref="C8:C9"/>
    <mergeCell ref="D8:D9"/>
    <mergeCell ref="C7:D7"/>
    <mergeCell ref="E7:F7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P8:P9"/>
    <mergeCell ref="Q8:Q9"/>
    <mergeCell ref="Z8:Z9"/>
    <mergeCell ref="Y8:Y9"/>
    <mergeCell ref="X8:X9"/>
    <mergeCell ref="W8:W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EA8:EA9"/>
    <mergeCell ref="EE4:EG6"/>
    <mergeCell ref="EE7:EG7"/>
    <mergeCell ref="EE8:EE9"/>
    <mergeCell ref="EG8:EG9"/>
    <mergeCell ref="DY7:EA7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G2" sqref="G2:G25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522" hidden="1" customWidth="1"/>
    <col min="4" max="4" width="11.375" style="522" hidden="1" customWidth="1"/>
    <col min="5" max="5" width="0.12890625" style="522" customWidth="1"/>
    <col min="6" max="6" width="12.25390625" style="522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194</v>
      </c>
      <c r="G1" s="328" t="s">
        <v>195</v>
      </c>
      <c r="H1" s="328" t="s">
        <v>166</v>
      </c>
    </row>
    <row r="2" spans="1:8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519">
        <v>7</v>
      </c>
      <c r="G2" s="803">
        <v>21</v>
      </c>
      <c r="H2" s="520">
        <f aca="true" t="shared" si="0" ref="H2:H25">F2-G2</f>
        <v>-14</v>
      </c>
    </row>
    <row r="3" spans="1:8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519">
        <v>2</v>
      </c>
      <c r="G3" s="804">
        <v>2</v>
      </c>
      <c r="H3" s="520">
        <f t="shared" si="0"/>
        <v>0</v>
      </c>
    </row>
    <row r="4" spans="1:8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519">
        <v>12</v>
      </c>
      <c r="G4" s="804">
        <v>15</v>
      </c>
      <c r="H4" s="520">
        <f t="shared" si="0"/>
        <v>-3</v>
      </c>
    </row>
    <row r="5" spans="1:8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519">
        <v>10</v>
      </c>
      <c r="G5" s="804">
        <v>22</v>
      </c>
      <c r="H5" s="520">
        <f t="shared" si="0"/>
        <v>-12</v>
      </c>
    </row>
    <row r="6" spans="1:8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519">
        <v>6</v>
      </c>
      <c r="G6" s="804">
        <v>4</v>
      </c>
      <c r="H6" s="520">
        <f t="shared" si="0"/>
        <v>2</v>
      </c>
    </row>
    <row r="7" spans="1:8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519">
        <v>20</v>
      </c>
      <c r="G7" s="804">
        <v>23</v>
      </c>
      <c r="H7" s="520">
        <f t="shared" si="0"/>
        <v>-3</v>
      </c>
    </row>
    <row r="8" spans="1:8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519">
        <v>21</v>
      </c>
      <c r="G8" s="804">
        <v>17</v>
      </c>
      <c r="H8" s="520">
        <f t="shared" si="0"/>
        <v>4</v>
      </c>
    </row>
    <row r="9" spans="1:8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519">
        <v>4</v>
      </c>
      <c r="G9" s="804">
        <v>1</v>
      </c>
      <c r="H9" s="520">
        <f t="shared" si="0"/>
        <v>3</v>
      </c>
    </row>
    <row r="10" spans="1:8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519">
        <v>16</v>
      </c>
      <c r="G10" s="804">
        <v>9</v>
      </c>
      <c r="H10" s="520">
        <f t="shared" si="0"/>
        <v>7</v>
      </c>
    </row>
    <row r="11" spans="1:8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519">
        <v>18</v>
      </c>
      <c r="G11" s="804">
        <v>12</v>
      </c>
      <c r="H11" s="520">
        <f t="shared" si="0"/>
        <v>6</v>
      </c>
    </row>
    <row r="12" spans="1:8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519">
        <v>9</v>
      </c>
      <c r="G12" s="804">
        <v>19</v>
      </c>
      <c r="H12" s="520">
        <f t="shared" si="0"/>
        <v>-10</v>
      </c>
    </row>
    <row r="13" spans="1:8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519">
        <v>23</v>
      </c>
      <c r="G13" s="804">
        <v>16</v>
      </c>
      <c r="H13" s="520">
        <f t="shared" si="0"/>
        <v>7</v>
      </c>
    </row>
    <row r="14" spans="1:8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519">
        <v>22</v>
      </c>
      <c r="G14" s="804">
        <v>11</v>
      </c>
      <c r="H14" s="520">
        <f t="shared" si="0"/>
        <v>11</v>
      </c>
    </row>
    <row r="15" spans="1:8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519">
        <v>19</v>
      </c>
      <c r="G15" s="804">
        <v>13</v>
      </c>
      <c r="H15" s="520">
        <f t="shared" si="0"/>
        <v>6</v>
      </c>
    </row>
    <row r="16" spans="1:8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519">
        <v>15</v>
      </c>
      <c r="G16" s="804">
        <v>10</v>
      </c>
      <c r="H16" s="520">
        <f t="shared" si="0"/>
        <v>5</v>
      </c>
    </row>
    <row r="17" spans="1:8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519">
        <v>8</v>
      </c>
      <c r="G17" s="804">
        <v>5</v>
      </c>
      <c r="H17" s="520">
        <f t="shared" si="0"/>
        <v>3</v>
      </c>
    </row>
    <row r="18" spans="1:8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519">
        <v>24</v>
      </c>
      <c r="G18" s="804">
        <v>24</v>
      </c>
      <c r="H18" s="520">
        <f t="shared" si="0"/>
        <v>0</v>
      </c>
    </row>
    <row r="19" spans="1:8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519">
        <v>11</v>
      </c>
      <c r="G19" s="804">
        <v>20</v>
      </c>
      <c r="H19" s="520">
        <f t="shared" si="0"/>
        <v>-9</v>
      </c>
    </row>
    <row r="20" spans="1:8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519">
        <v>17</v>
      </c>
      <c r="G20" s="804">
        <v>18</v>
      </c>
      <c r="H20" s="520">
        <f t="shared" si="0"/>
        <v>-1</v>
      </c>
    </row>
    <row r="21" spans="1:8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519">
        <v>3</v>
      </c>
      <c r="G21" s="804">
        <v>14</v>
      </c>
      <c r="H21" s="520">
        <f t="shared" si="0"/>
        <v>-11</v>
      </c>
    </row>
    <row r="22" spans="1:8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519">
        <v>1</v>
      </c>
      <c r="G22" s="804">
        <v>8</v>
      </c>
      <c r="H22" s="520">
        <f t="shared" si="0"/>
        <v>-7</v>
      </c>
    </row>
    <row r="23" spans="1:8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519">
        <v>13</v>
      </c>
      <c r="G23" s="804">
        <v>3</v>
      </c>
      <c r="H23" s="520">
        <f t="shared" si="0"/>
        <v>10</v>
      </c>
    </row>
    <row r="24" spans="1:8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519">
        <v>14</v>
      </c>
      <c r="G24" s="804">
        <v>6</v>
      </c>
      <c r="H24" s="520">
        <f t="shared" si="0"/>
        <v>8</v>
      </c>
    </row>
    <row r="25" spans="1:8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519">
        <v>5</v>
      </c>
      <c r="G25" s="804">
        <v>7</v>
      </c>
      <c r="H25" s="520">
        <f t="shared" si="0"/>
        <v>-2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521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2022-02-17T09:46:41Z</cp:lastPrinted>
  <dcterms:created xsi:type="dcterms:W3CDTF">2014-03-04T06:36:48Z</dcterms:created>
  <dcterms:modified xsi:type="dcterms:W3CDTF">2023-02-19T08:24:17Z</dcterms:modified>
  <cp:category/>
  <cp:version/>
  <cp:contentType/>
  <cp:contentStatus/>
</cp:coreProperties>
</file>