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440" windowHeight="11580" firstSheet="8" activeTab="8"/>
  </bookViews>
  <sheets>
    <sheet name="Оценка за 2013 год  правда" sheetId="1" state="hidden" r:id="rId1"/>
    <sheet name="Снижение -повышение " sheetId="2" state="hidden" r:id="rId2"/>
    <sheet name="ИТОГ на 1.01.2014" sheetId="3" state="hidden" r:id="rId3"/>
    <sheet name="Диаграмма1 итоги 2013" sheetId="4" state="hidden" r:id="rId4"/>
    <sheet name="Диаграмма 2 динамика " sheetId="5" state="hidden" r:id="rId5"/>
    <sheet name="Оценка за 2013 год" sheetId="6" state="hidden" r:id="rId6"/>
    <sheet name="Снижение -повышение  (2)" sheetId="7" state="hidden" r:id="rId7"/>
    <sheet name="ИТОГ на 1.07.2014" sheetId="8" state="hidden" r:id="rId8"/>
    <sheet name="Диаграмма1 итоги 1 полуг.2014" sheetId="9" r:id="rId9"/>
    <sheet name="Диаграмма 2 динамика 1 пол.2014" sheetId="10" r:id="rId10"/>
    <sheet name="Оценка за 1 полугодие.2014" sheetId="11" r:id="rId11"/>
    <sheet name="Наташа за 3 кв.2014" sheetId="12" state="hidden" r:id="rId12"/>
    <sheet name="Оценка за 2013 год  с АИП(3)" sheetId="13" state="hidden" r:id="rId13"/>
    <sheet name="Оценка за 2013 год по алфавиту)" sheetId="14" state="hidden" r:id="rId14"/>
    <sheet name="Оценка за 2013 год  посл. (2)" sheetId="15" state="hidden" r:id="rId15"/>
  </sheets>
  <definedNames>
    <definedName name="_xlnm._FilterDatabase" localSheetId="11" hidden="1">'Наташа за 3 кв.2014'!$A$8:$BN$8</definedName>
    <definedName name="_xlnm.Print_Titles" localSheetId="11">'Наташа за 3 кв.2014'!$A:$A,'Наташа за 3 кв.2014'!$4:$8</definedName>
    <definedName name="_xlnm.Print_Titles" localSheetId="10">'Оценка за 1 полугодие.2014'!$A:$B</definedName>
    <definedName name="_xlnm.Print_Titles" localSheetId="5">'Оценка за 2013 год'!$A:$B</definedName>
    <definedName name="_xlnm.Print_Titles" localSheetId="14">'Оценка за 2013 год  посл. (2)'!$A:$B</definedName>
    <definedName name="_xlnm.Print_Titles" localSheetId="0">'Оценка за 2013 год  правда'!$A:$B</definedName>
    <definedName name="_xlnm.Print_Titles" localSheetId="12">'Оценка за 2013 год  с АИП(3)'!$A:$B</definedName>
    <definedName name="_xlnm.Print_Titles" localSheetId="13">'Оценка за 2013 год по алфавиту)'!$A:$B</definedName>
    <definedName name="_xlnm.Print_Area" localSheetId="11">'Наташа за 3 кв.2014'!$A$1:$BN$34</definedName>
    <definedName name="_xlnm.Print_Area" localSheetId="10">'Оценка за 1 полугодие.2014'!$A$1:$ES$34</definedName>
    <definedName name="_xlnm.Print_Area" localSheetId="5">'Оценка за 2013 год'!$A$1:$ES$34</definedName>
    <definedName name="_xlnm.Print_Area" localSheetId="14">'Оценка за 2013 год  посл. (2)'!$A$1:$ER$34</definedName>
    <definedName name="_xlnm.Print_Area" localSheetId="0">'Оценка за 2013 год  правда'!$A$1:$EQ$34</definedName>
    <definedName name="_xlnm.Print_Area" localSheetId="12">'Оценка за 2013 год  с АИП(3)'!$A$1:$ES$34</definedName>
    <definedName name="_xlnm.Print_Area" localSheetId="13">'Оценка за 2013 год по алфавиту)'!$A$1:$EX$35</definedName>
  </definedNames>
  <calcPr fullCalcOnLoad="1"/>
</workbook>
</file>

<file path=xl/sharedStrings.xml><?xml version="1.0" encoding="utf-8"?>
<sst xmlns="http://schemas.openxmlformats.org/spreadsheetml/2006/main" count="2254" uniqueCount="287">
  <si>
    <t xml:space="preserve"> </t>
  </si>
  <si>
    <t>№ п/п</t>
  </si>
  <si>
    <t>Наименование сельского (городского) поселения Омского муниципального района Омской области</t>
  </si>
  <si>
    <t>Индекс динамики просроченной кредиторской задолженности местного бюджета</t>
  </si>
  <si>
    <t>Объем просроченной кредиторской задолженности местного бюджета по оплате труда</t>
  </si>
  <si>
    <t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ГОДОВОЙ</t>
  </si>
  <si>
    <t>Доля налоговых и неналоговых доходов бюджета сельского (городского) поселения в общем объеме доходов местного бюджета</t>
  </si>
  <si>
    <t>Процент исполнения налоговых и неналоговых доходов местного бюджета</t>
  </si>
  <si>
    <t>Темп роста налоговых и неналоговых доходов бюджета сельского (городского) поселения в сравнении с аналогичным  периодом прошлого года</t>
  </si>
  <si>
    <t>Индекс динамики недоимки по местным налогам, подлежащим зачислению в местный бюджет</t>
  </si>
  <si>
    <t>Доля межбюджетных трансфертов в общем объеме доходов поселения (за исключением субвенций)</t>
  </si>
  <si>
    <t>Индекс динамики дефицита бюджета сельского (городского) поселения</t>
  </si>
  <si>
    <t xml:space="preserve">Уровень соблюдения нормативов формирования расходов на содержание и оплату труда ОМСУ сельских (городского) поселений  </t>
  </si>
  <si>
    <t>Доля расходов местного бюджета, направляемая  на оплату труда всех категорий работников</t>
  </si>
  <si>
    <t xml:space="preserve">Удельный вес  расходов на  оплату труда ОМСУ сельских (городского) поселений  </t>
  </si>
  <si>
    <t>Уровень обеспеченности бюджетными услугами 1 жителя поселения</t>
  </si>
  <si>
    <t>Уровень обеспеченности  муниципальными услугами в сфере культуры, молодежной политики, физической культуры и спорта, предоставляемых населению, в расчете на 1 жителя поселения</t>
  </si>
  <si>
    <t>Уровень соблюдения  условий софинансирования расходов местного бюджета на выплату  заработной платы  работникам муниципальных учреждений  сельских (городского) поселений</t>
  </si>
  <si>
    <t>Доля расходов местного бюджета, формируемых в рамках долгосрочных целевых программ, в общем объеме расходов местного бюджета</t>
  </si>
  <si>
    <t>Степень освоения межбюджетных трансфертов, поступающих из областного и районного бюджетов</t>
  </si>
  <si>
    <t>Наличие фактов нарушения сроков предоставления в Комитет финансов и контроля информации по вопросам планирования и исполнения местного бюджета</t>
  </si>
  <si>
    <t>Количество ошибок в информации, предоставляемой по запросу Комитета финансов и контроля</t>
  </si>
  <si>
    <t>Количество ошибок заполнения документов в части ведения в программном комплексе сводной бюджетной росписи и кассового плана исполнения бюджета сельского (городского) поселения</t>
  </si>
  <si>
    <t xml:space="preserve">Доля ошибок заполнения документов при осуществлении кассовых выплат из местного бюджета в общем количестве документов в части проведения кассовых операций по исполнению местного бюджета                      </t>
  </si>
  <si>
    <t>Количество ошибок в применении кодов бюджетной классификации Российской Федерации при составлении ежемесячной отчетности об исполнении местного бюджета на отчетную дату</t>
  </si>
  <si>
    <t xml:space="preserve">Наличие документов о результатах публичных слушаний по проекту бюджета сельского (городского) поселения и отчета о его исполнении </t>
  </si>
  <si>
    <t>Наличие НПА сельского (городского) поселения, устанавливающего порядок и методику планирования бюджетных ассигнований бюджета сельского (городского) поселения</t>
  </si>
  <si>
    <t xml:space="preserve">Наличие НПА сельского (городского) поселения, устанавливающего сроки составления бюджета сельского (городского) поселения  </t>
  </si>
  <si>
    <t>Наличие НПА сельского (городского) поселения, устанавливающего порядок составления и ведения кассвого плана исполнения бюджета сельского (городского) поселения</t>
  </si>
  <si>
    <t>Наличие НПА сельского (городского) поселения, устанавливающего порядок составления и ведения сводной бюджетной росписи бюджета сельского (городского) поселения</t>
  </si>
  <si>
    <t xml:space="preserve">Наличие НПА сельского (городского) поселения, устанавливающего порядок разработки, формирования и реализацию долгосрочных целевых программ сельского (городского) поселения </t>
  </si>
  <si>
    <t>Наличие НПА сельского (городского) поселения об утверждении среднесрочного финансового плана сельского (городского) поселения на очередной финансовый год и плановый период</t>
  </si>
  <si>
    <t>ВСЕГО</t>
  </si>
  <si>
    <t>Р1</t>
  </si>
  <si>
    <t>Р2</t>
  </si>
  <si>
    <t>Р3</t>
  </si>
  <si>
    <t>Р4</t>
  </si>
  <si>
    <t>Р5</t>
  </si>
  <si>
    <t>Р6</t>
  </si>
  <si>
    <t>Р7</t>
  </si>
  <si>
    <t>Р8</t>
  </si>
  <si>
    <t>P9</t>
  </si>
  <si>
    <t>P10</t>
  </si>
  <si>
    <t>Р11</t>
  </si>
  <si>
    <t>P12</t>
  </si>
  <si>
    <t>Р13</t>
  </si>
  <si>
    <t>Р14</t>
  </si>
  <si>
    <t>Р15</t>
  </si>
  <si>
    <t>Р16</t>
  </si>
  <si>
    <t>Р17</t>
  </si>
  <si>
    <t>P18</t>
  </si>
  <si>
    <t>P19</t>
  </si>
  <si>
    <t>Р20</t>
  </si>
  <si>
    <t>Р21</t>
  </si>
  <si>
    <t>Р22</t>
  </si>
  <si>
    <t>Р23</t>
  </si>
  <si>
    <t>Р24</t>
  </si>
  <si>
    <t>Р25</t>
  </si>
  <si>
    <t>Р26</t>
  </si>
  <si>
    <t>Р27</t>
  </si>
  <si>
    <t>Р28</t>
  </si>
  <si>
    <t>Р29</t>
  </si>
  <si>
    <t>Р30</t>
  </si>
  <si>
    <t>Р31</t>
  </si>
  <si>
    <t>Результат</t>
  </si>
  <si>
    <t>Оценка</t>
  </si>
  <si>
    <t>Прогнозируемый в отчетном периоде объем налоговых и неналоговых доходов местного бюджета (без учета вносимых изменений), тыс. рублей</t>
  </si>
  <si>
    <t>Фактический объем налоговых и неналоговых доходов в местный бюджет за отчетный период, тыс. рублей</t>
  </si>
  <si>
    <t>Фактический объем доходов местного бюджета за отчетный период, тыс. рублей</t>
  </si>
  <si>
    <t>Годовые плановые назначения налоговых и неналоговых доходов местного бюджета за отчетный период, тыс. рублей</t>
  </si>
  <si>
    <t>Фактический объем налоговых и неналоговых доходов местного бюджета за отчетный период в текущем году, тыс. руб.</t>
  </si>
  <si>
    <t>Фактический объем налоговых и неналоговых доходов местного бюджета на отчетную дату за аналогичный период прошлого года, тыс.  руб.</t>
  </si>
  <si>
    <t>Объем недоимки по местным налогам, подлежащим зачислению в местный бюджет, на начало последнего квартала отчетного периода, тыс. руб.</t>
  </si>
  <si>
    <t>Объем недоимки по местным налогам, подлежащим зачислению в местный бюджет, на конец отчетного периода, тыс. руб.</t>
  </si>
  <si>
    <t>Объем недоимки по местным налогам за отчетный период, тыс. руб.</t>
  </si>
  <si>
    <t>Фактический объем налоговых доходов местного бюджета на отчетную дату, тыс. руб.</t>
  </si>
  <si>
    <t>Фактический объем безвозмездных перечислений из вышестоящих бюджетов бюджетной сиситемы РФ, тыс. руб.</t>
  </si>
  <si>
    <t>Фактический объем доходов местного бюджета за отчетный период, тыс. руб.</t>
  </si>
  <si>
    <t>Фактический объем субвенций из вышестоящего бюджета, тыс. руб.</t>
  </si>
  <si>
    <t>Объем расходов на содержание и оплату труда ОМСУ, в тыс.руб.</t>
  </si>
  <si>
    <t>Норматив расходов на содержание и оплату труда ОМСУ, в тыс.руб.</t>
  </si>
  <si>
    <t xml:space="preserve">Оценка </t>
  </si>
  <si>
    <t>Объем расходов, в тыс.руб.</t>
  </si>
  <si>
    <t>Объем расходов на оплату труда всех категорий работников, в тыс.руб.</t>
  </si>
  <si>
    <t>Объем расходов на оплату труда ОМСУ, в тыс.руб.</t>
  </si>
  <si>
    <t>Результат:                               Удельный вес, в %</t>
  </si>
  <si>
    <t>Оценка (1)</t>
  </si>
  <si>
    <t>Оценка (2)</t>
  </si>
  <si>
    <t>Численность населения, человек, всего</t>
  </si>
  <si>
    <t>Уровень обеспеченности бюджетными услугами 1 жителя поселения, в руб.</t>
  </si>
  <si>
    <t>Объем муниципальных услуг в сфере культуры, молодежной политики, физической культуры и спорта, в тыс.руб.</t>
  </si>
  <si>
    <t>Уровень обеспеченности муниципальными услугами 1 жителя поселения, в руб.</t>
  </si>
  <si>
    <t>Расходы, выполненные иза счет средств областного и районного бюджетов, тыс.руб.</t>
  </si>
  <si>
    <t>Выполненный объем софинансирования (кассовые расходы), тыс.руб.</t>
  </si>
  <si>
    <t>Доля, %</t>
  </si>
  <si>
    <t>Объем бюджетных ассигнований местного бюджета на реализацию долгосрочных целевых программ сельских (городского) поселений, тыс. рублей</t>
  </si>
  <si>
    <t>Предоставление бухгалтерской отчетности</t>
  </si>
  <si>
    <t xml:space="preserve">Сроки предоставления и качество пояснительных записок по доходной части бюджета </t>
  </si>
  <si>
    <t>Предоставление информации по Приказу КФиК № 110</t>
  </si>
  <si>
    <t>Ошибки в уточненном решении о бюджете на 2011 год по расходной части бюджета</t>
  </si>
  <si>
    <t>Ошибки при сдаче месячной отчетности</t>
  </si>
  <si>
    <t>Ошибки при сдаче годовой отчетности</t>
  </si>
  <si>
    <t>в части доходов по внесению изменений</t>
  </si>
  <si>
    <t>в части расходов</t>
  </si>
  <si>
    <t>в части источников финансирования дефицита бюджета по внесению изменений</t>
  </si>
  <si>
    <t>ИТОГО</t>
  </si>
  <si>
    <t>Реквизиты</t>
  </si>
  <si>
    <t>СУММАРНАЯ ОЦЕНКА/БАЛЛЫ</t>
  </si>
  <si>
    <t>Место в рейтинге</t>
  </si>
  <si>
    <t>k</t>
  </si>
  <si>
    <t>Степень качества управления бюджетным процессом</t>
  </si>
  <si>
    <t>в объеме расходов на содержание и оплату труда ОМСУ (1)</t>
  </si>
  <si>
    <t>в объеме расходов, направляемых на  оплату труда всех категорий работников (2)</t>
  </si>
  <si>
    <t>Количество нарушений сроков</t>
  </si>
  <si>
    <t>Количество ошибок</t>
  </si>
  <si>
    <t xml:space="preserve">Андреевское </t>
  </si>
  <si>
    <t>III</t>
  </si>
  <si>
    <t>II</t>
  </si>
  <si>
    <t xml:space="preserve">Ачаирское </t>
  </si>
  <si>
    <t>I</t>
  </si>
  <si>
    <t xml:space="preserve">Богословское </t>
  </si>
  <si>
    <t>Дружинское</t>
  </si>
  <si>
    <t xml:space="preserve">Иртышское </t>
  </si>
  <si>
    <t xml:space="preserve">Калининское </t>
  </si>
  <si>
    <t>Ключевское</t>
  </si>
  <si>
    <t xml:space="preserve">Комсомольское </t>
  </si>
  <si>
    <t xml:space="preserve">Красноярское </t>
  </si>
  <si>
    <t xml:space="preserve">Лузинское </t>
  </si>
  <si>
    <t xml:space="preserve">Магистральное </t>
  </si>
  <si>
    <t xml:space="preserve">Морозовское </t>
  </si>
  <si>
    <t xml:space="preserve">Надеждинское </t>
  </si>
  <si>
    <t xml:space="preserve">Новоомское </t>
  </si>
  <si>
    <t xml:space="preserve">Новотроицкое </t>
  </si>
  <si>
    <t xml:space="preserve">Омское </t>
  </si>
  <si>
    <t xml:space="preserve">Петровское </t>
  </si>
  <si>
    <t xml:space="preserve">Покровское </t>
  </si>
  <si>
    <t xml:space="preserve">Пушкинское </t>
  </si>
  <si>
    <t xml:space="preserve">Розовское </t>
  </si>
  <si>
    <t xml:space="preserve">Ростовкинское </t>
  </si>
  <si>
    <t xml:space="preserve">Троицкое </t>
  </si>
  <si>
    <t xml:space="preserve">Усть-Заостровское </t>
  </si>
  <si>
    <t xml:space="preserve">Чернолучинское </t>
  </si>
  <si>
    <t>X</t>
  </si>
  <si>
    <t>более</t>
  </si>
  <si>
    <t>от 22,1 и выше</t>
  </si>
  <si>
    <t xml:space="preserve">1 степень </t>
  </si>
  <si>
    <t>от 17,6 по 22</t>
  </si>
  <si>
    <t xml:space="preserve">2 степень </t>
  </si>
  <si>
    <t>по 17,5и ниже</t>
  </si>
  <si>
    <t xml:space="preserve">3 степень </t>
  </si>
  <si>
    <r>
      <t xml:space="preserve"> Удельный вес недоимки по местным налогам </t>
    </r>
    <r>
      <rPr>
        <b/>
        <sz val="12"/>
        <rFont val="Times New Roman"/>
        <family val="1"/>
      </rPr>
      <t>в общем объеме налоговых доходов бюджета поселения, процентов</t>
    </r>
  </si>
  <si>
    <t>Сроки предоставления Распоряжений о наделении полномочий по новым КБК</t>
  </si>
  <si>
    <t>Ошибки в проектах бюджета на 2013 год</t>
  </si>
  <si>
    <t>Ошибки в Распоряжениях о наделении полномочий по новым КБК</t>
  </si>
  <si>
    <t>Плановый размер дефицита бюджета сельского (городского) поселения за отчетный период на 01.01.2014, тыс. рублей</t>
  </si>
  <si>
    <t>Плановый размер дефицита бюджета сельского (городского) поселения за отчетный период на 01.01.2013, тыс. рублей</t>
  </si>
  <si>
    <t>Сроки предоставления Решения о бюджете сельского (городского) поселения в части изменения приложения по главным администраторам</t>
  </si>
  <si>
    <t>Ошибки в решении о бюджете сельского (городского) в части изменения приложения по главным администраторам</t>
  </si>
  <si>
    <t xml:space="preserve">в части доходов по первоначальной росписи </t>
  </si>
  <si>
    <t xml:space="preserve">в части источников финансирования дефицита бюджета по первоначальной росписи </t>
  </si>
  <si>
    <t>Наличие НПА сельского (городского) поселения, устанавливающего переход  к планированию бюджета на трехлетний период</t>
  </si>
  <si>
    <t>Предоставление распоряжения по совершенствованию ОТ КДЦ</t>
  </si>
  <si>
    <t>Ошибки в проекте решения о бюджете</t>
  </si>
  <si>
    <t>Место в рейтинге на 01.04.2011</t>
  </si>
  <si>
    <t>Место в рейтинге на 01.10.2012</t>
  </si>
  <si>
    <t>Снижение (-), повышение (+)</t>
  </si>
  <si>
    <t>Х</t>
  </si>
  <si>
    <t xml:space="preserve">Наименование сельского (городского) поселения Омского муниципального района </t>
  </si>
  <si>
    <t>ВСЕГО на 1.04.11</t>
  </si>
  <si>
    <t>Место в рейтинге на 01.01.2014</t>
  </si>
  <si>
    <t>ВСЕГО на 1.01.2014</t>
  </si>
  <si>
    <t xml:space="preserve"> Удельный вес недоимки по местным налогам в общем объеме налоговых доходов бюджета поселения, процентов</t>
  </si>
  <si>
    <t>Наименование муниципального
 образования Омской области</t>
  </si>
  <si>
    <t xml:space="preserve">Расходы в расчете </t>
  </si>
  <si>
    <t xml:space="preserve">Численность </t>
  </si>
  <si>
    <t>Общий объем расходов 2010</t>
  </si>
  <si>
    <t>Общий объем расходов по сост. на 01.10..2014</t>
  </si>
  <si>
    <t>из них</t>
  </si>
  <si>
    <t>Объем дефицита (-); профицита(+)</t>
  </si>
  <si>
    <t>Расходы на оплату труда всех категорий работников (210+241)</t>
  </si>
  <si>
    <t>в том числе:</t>
  </si>
  <si>
    <t>Бюджетные  услуги</t>
  </si>
  <si>
    <t>БЛАГОУСТРОЙСТВО и ДОРОЖНАЯ ДЕЯТЕЛЬНОСТЬ</t>
  </si>
  <si>
    <t>Общественные работы</t>
  </si>
  <si>
    <t>Показатели, характеризующие уровень бюджетной дисциплины в сельском (городском) поселении</t>
  </si>
  <si>
    <t>Показатели, характеризующие состояние нормативно-правовой базы сельского (городского) поселения в сфере бюджетного законодательства</t>
  </si>
  <si>
    <t>На 1 жителя</t>
  </si>
  <si>
    <t>к средепоселенческому уровню</t>
  </si>
  <si>
    <t>Расходы на содержание ОМСУ, всего (ПО НОРМАТИВУ)</t>
  </si>
  <si>
    <t>в том числе</t>
  </si>
  <si>
    <t>Расходы на коммунальные услуги                                        (223 экр + 2410223+2410310)</t>
  </si>
  <si>
    <t>Инвестиционные расходы (310 экр+2410310)</t>
  </si>
  <si>
    <t>Бюджетные инвестиции (410 ВР)</t>
  </si>
  <si>
    <t>Субсидии юрид. лицам (кроме бюдж. учр.) (810 ВР)</t>
  </si>
  <si>
    <t>Расходы на оплату труда ОМСУ (210 экр)</t>
  </si>
  <si>
    <t>Расходы на оплату труда  (210+241)</t>
  </si>
  <si>
    <t>Молодежная политика</t>
  </si>
  <si>
    <t>Культура</t>
  </si>
  <si>
    <t>Физкультура и Спорт</t>
  </si>
  <si>
    <t>раздел 0503</t>
  </si>
  <si>
    <t>раздел 0409</t>
  </si>
  <si>
    <t>ВСЕГО разделы 0503 и 0409</t>
  </si>
  <si>
    <t>раздел 0401</t>
  </si>
  <si>
    <t>Количество ошибок в применении КБК</t>
  </si>
  <si>
    <t>Количество ошибок бюджетной росписи и кассовом плане</t>
  </si>
  <si>
    <t>Количество ошибок при составлении проекта бюджета</t>
  </si>
  <si>
    <t>Наличие фактов нарушения сроков предоставления в КФиК информации по вопросам планирования и исполнения местного бюджета</t>
  </si>
  <si>
    <t>Количество ошибок в информации, предоставляемой по запросу КФиК</t>
  </si>
  <si>
    <t>Не предоставлены отчеты по приказу № 110</t>
  </si>
  <si>
    <t>исп</t>
  </si>
  <si>
    <t xml:space="preserve">план на год </t>
  </si>
  <si>
    <t xml:space="preserve">факт </t>
  </si>
  <si>
    <t>% исполнения</t>
  </si>
  <si>
    <t xml:space="preserve">план </t>
  </si>
  <si>
    <t>факт</t>
  </si>
  <si>
    <t xml:space="preserve">Доля в общих расходах, % </t>
  </si>
  <si>
    <t xml:space="preserve">план 
</t>
  </si>
  <si>
    <t>план на 
2010 год</t>
  </si>
  <si>
    <t>факт на 01.01.2011</t>
  </si>
  <si>
    <t>план</t>
  </si>
  <si>
    <t>раздел 07 план</t>
  </si>
  <si>
    <t>раздел 08 план</t>
  </si>
  <si>
    <t>раздел 11 план</t>
  </si>
  <si>
    <t>в % к общим расходам</t>
  </si>
  <si>
    <t xml:space="preserve">Доля в расходах 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</si>
  <si>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</si>
  <si>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</si>
  <si>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</si>
  <si>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</si>
  <si>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</si>
  <si>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</si>
  <si>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</si>
  <si>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</si>
  <si>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</si>
  <si>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</si>
  <si>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</si>
  <si>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</si>
  <si>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</si>
  <si>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</si>
  <si>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</si>
  <si>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</si>
  <si>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</si>
  <si>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</si>
  <si>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</si>
  <si>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</si>
  <si>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</si>
  <si>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Положения по оплате труда</t>
  </si>
  <si>
    <t>Штатки</t>
  </si>
  <si>
    <t>ОМСКИЙ МУНИЦИПАЛЬНЫЙ РАЙОН (данные только по районному бюджету)</t>
  </si>
  <si>
    <t>Андреевское сельское поселение</t>
  </si>
  <si>
    <t>Ачаирское сельское поселение</t>
  </si>
  <si>
    <t>Богословское сельское поселение</t>
  </si>
  <si>
    <t>Дружинское сельское поселение</t>
  </si>
  <si>
    <t>Иртышское сельское поселение</t>
  </si>
  <si>
    <t>Калининское сельское поселение</t>
  </si>
  <si>
    <t>Ключевское сельское поселение</t>
  </si>
  <si>
    <t>Комсомольское сельское поселение</t>
  </si>
  <si>
    <t>Красноярское сельское поселение</t>
  </si>
  <si>
    <t>Лузинское сельское поселение</t>
  </si>
  <si>
    <t>Магистральное сельское поселение</t>
  </si>
  <si>
    <t>Морозовское сельское поселение</t>
  </si>
  <si>
    <t>Надеждинское сельское поселение</t>
  </si>
  <si>
    <t>Новоомское сельское поселение</t>
  </si>
  <si>
    <t>Новотроицкое сельское поселение</t>
  </si>
  <si>
    <t>Омское сельское поселение</t>
  </si>
  <si>
    <t>Петровское сельское поселение</t>
  </si>
  <si>
    <t>Покровское сельское поселение</t>
  </si>
  <si>
    <t>Пушкинское сельское поселение</t>
  </si>
  <si>
    <t>Розовское сельское поселение</t>
  </si>
  <si>
    <t>Ростовкинское сельское поселение</t>
  </si>
  <si>
    <t>Троицкое сельское поселение</t>
  </si>
  <si>
    <t>Усть-Заостровское поселение</t>
  </si>
  <si>
    <t>Чернолучинское городское поселение</t>
  </si>
  <si>
    <t>Итого по поселениям</t>
  </si>
  <si>
    <t>Доля расходов местного бюджета, формируемых в рамках целевых программ, в общем объеме расходов местного бюджета</t>
  </si>
  <si>
    <t>Объем бюджетных ассигнований местного бюджета на реализацию целевых программ сельских (городского) поселений, тыс. рублей</t>
  </si>
  <si>
    <t>Ошибки в уточненном решении о бюджете по расходной части бюджета</t>
  </si>
  <si>
    <t>Сроки предоставления отчета по комиссии по мобилизации доходов</t>
  </si>
  <si>
    <t>Ошибки при сдаче месячной бухгалтерской отчетности</t>
  </si>
  <si>
    <t>Ошибки при сдаче отчетности</t>
  </si>
  <si>
    <t>Место в рейтинге на 01.10.2014</t>
  </si>
  <si>
    <t>в части доходов по первоначальной росписи на 2014 год</t>
  </si>
  <si>
    <t xml:space="preserve">Степень отклонения фактического объема налоговых и неналоговых доходов местного бюджета от прогнозируемого объема (без учета вносимых в течение года изменений) </t>
  </si>
  <si>
    <t>Сроки предоставления информации о налогоплательщиках, осуществляющих деятельность, но не зарегистрированных на территории сельского (городского) поселения</t>
  </si>
  <si>
    <t xml:space="preserve">Срок предоставления письма по вопросу технического состояния ГИС ГМП </t>
  </si>
  <si>
    <t>Место в рейтинге на 01.07.2014</t>
  </si>
  <si>
    <t>ВСЕГО на 1.07.2014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</si>
</sst>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[$-FC19]d\ mmmm\ yyyy\ &quot;г.&quot;"/>
    <numFmt numFmtId="171" formatCode="#,##0.00&quot;р.&quot;"/>
    <numFmt numFmtId="172" formatCode="#,##0.00_р_."/>
    <numFmt numFmtId="173" formatCode="#,##0.0"/>
    <numFmt numFmtId="174" formatCode="#,##0.00;[Red]\-#,##0.00;0.00"/>
    <numFmt numFmtId="175" formatCode="0.0_ ;[Red]\-0.0\ "/>
    <numFmt numFmtId="176" formatCode="0.00000"/>
    <numFmt numFmtId="177" formatCode="0.0000"/>
    <numFmt numFmtId="178" formatCode="0.00000000"/>
    <numFmt numFmtId="179" formatCode="0.0000000"/>
    <numFmt numFmtId="180" formatCode="0.000000"/>
    <numFmt numFmtId="181" formatCode="000"/>
    <numFmt numFmtId="182" formatCode="#,##0.0_р_."/>
    <numFmt numFmtId="183" formatCode="0.0%"/>
    <numFmt numFmtId="184" formatCode="_-* #,##0.0&quot;р.&quot;_-;\-* #,##0.0&quot;р.&quot;_-;_-* &quot;-&quot;?&quot;р.&quot;_-;_-@_-"/>
    <numFmt numFmtId="185" formatCode="_-* #,##0.0_р_._-;\-* #,##0.0_р_._-;_-* &quot;-&quot;?_р_._-;_-@_-"/>
    <numFmt numFmtId="186" formatCode="0.000000000"/>
    <numFmt numFmtId="187" formatCode="0.0000000000"/>
    <numFmt numFmtId="188" formatCode="#,##0.0_ ;\-#,##0.0\ "/>
    <numFmt numFmtId="189" formatCode="#,##0.0_р_.;\-#,##0.0_р_."/>
    <numFmt numFmtId="190" formatCode="0.000%"/>
    <numFmt numFmtId="191" formatCode="_-* #,##0.000_р_._-;\-* #,##0.000_р_._-;_-* &quot;-&quot;??_р_._-;_-@_-"/>
    <numFmt numFmtId="192" formatCode="_-* #,##0.0_р_._-;\-* #,##0.0_р_._-;_-* &quot;-&quot;??_р_._-;_-@_-"/>
    <numFmt numFmtId="193" formatCode="_-* #,##0_р_._-;\-* #,##0_р_._-;_-* &quot;-&quot;??_р_._-;_-@_-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24"/>
      <color indexed="10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b/>
      <i/>
      <sz val="12"/>
      <name val="Arial Cyr"/>
      <family val="0"/>
    </font>
    <font>
      <b/>
      <i/>
      <sz val="12"/>
      <name val="Times New Roman CYR"/>
      <family val="0"/>
    </font>
    <font>
      <sz val="12"/>
      <color indexed="8"/>
      <name val="Times New Roman"/>
      <family val="1"/>
    </font>
    <font>
      <i/>
      <sz val="10"/>
      <name val="Arial Cyr"/>
      <family val="0"/>
    </font>
    <font>
      <b/>
      <sz val="10"/>
      <name val="Arial"/>
      <family val="2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2"/>
      <color indexed="9"/>
      <name val="Times New Roman"/>
      <family val="1"/>
    </font>
    <font>
      <sz val="14"/>
      <name val="Arial Cyr"/>
      <family val="0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0"/>
    </font>
    <font>
      <sz val="8"/>
      <color indexed="10"/>
      <name val="Arial"/>
      <family val="0"/>
    </font>
    <font>
      <sz val="10"/>
      <color indexed="8"/>
      <name val="Times New Roman"/>
      <family val="0"/>
    </font>
    <font>
      <sz val="7.75"/>
      <color indexed="8"/>
      <name val="Times New Roman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56" fillId="0" borderId="3">
      <alignment horizontal="left" vertical="top"/>
      <protection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56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6" fillId="0" borderId="0">
      <alignment horizontal="left" vertical="top"/>
      <protection/>
    </xf>
    <xf numFmtId="0" fontId="10" fillId="0" borderId="7" applyNumberFormat="0" applyFill="0" applyAlignment="0" applyProtection="0"/>
    <xf numFmtId="0" fontId="11" fillId="25" borderId="8" applyNumberFormat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67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025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2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23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wrapText="1"/>
    </xf>
    <xf numFmtId="0" fontId="30" fillId="0" borderId="17" xfId="0" applyFont="1" applyFill="1" applyBorder="1" applyAlignment="1">
      <alignment horizontal="center" vertical="center"/>
    </xf>
    <xf numFmtId="183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 wrapText="1"/>
    </xf>
    <xf numFmtId="168" fontId="30" fillId="24" borderId="19" xfId="0" applyNumberFormat="1" applyFont="1" applyFill="1" applyBorder="1" applyAlignment="1">
      <alignment horizontal="center" vertical="center"/>
    </xf>
    <xf numFmtId="10" fontId="30" fillId="0" borderId="18" xfId="0" applyNumberFormat="1" applyFont="1" applyFill="1" applyBorder="1" applyAlignment="1">
      <alignment horizontal="center" vertical="center"/>
    </xf>
    <xf numFmtId="0" fontId="30" fillId="24" borderId="19" xfId="0" applyNumberFormat="1" applyFont="1" applyFill="1" applyBorder="1" applyAlignment="1">
      <alignment horizontal="center" vertical="center"/>
    </xf>
    <xf numFmtId="168" fontId="31" fillId="0" borderId="18" xfId="0" applyNumberFormat="1" applyFont="1" applyFill="1" applyBorder="1" applyAlignment="1">
      <alignment horizontal="center" vertical="center"/>
    </xf>
    <xf numFmtId="183" fontId="31" fillId="0" borderId="18" xfId="0" applyNumberFormat="1" applyFont="1" applyFill="1" applyBorder="1" applyAlignment="1">
      <alignment horizontal="center" vertical="center"/>
    </xf>
    <xf numFmtId="1" fontId="31" fillId="24" borderId="18" xfId="0" applyNumberFormat="1" applyFont="1" applyFill="1" applyBorder="1" applyAlignment="1">
      <alignment horizontal="center" vertical="center"/>
    </xf>
    <xf numFmtId="168" fontId="32" fillId="24" borderId="18" xfId="0" applyNumberFormat="1" applyFont="1" applyFill="1" applyBorder="1" applyAlignment="1">
      <alignment horizontal="center" vertical="center"/>
    </xf>
    <xf numFmtId="0" fontId="30" fillId="24" borderId="18" xfId="0" applyNumberFormat="1" applyFont="1" applyFill="1" applyBorder="1" applyAlignment="1">
      <alignment horizontal="center" vertical="center"/>
    </xf>
    <xf numFmtId="168" fontId="30" fillId="0" borderId="18" xfId="0" applyNumberFormat="1" applyFont="1" applyFill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68" fontId="30" fillId="24" borderId="18" xfId="0" applyNumberFormat="1" applyFont="1" applyFill="1" applyBorder="1" applyAlignment="1">
      <alignment horizontal="center" vertical="center"/>
    </xf>
    <xf numFmtId="168" fontId="31" fillId="0" borderId="18" xfId="0" applyNumberFormat="1" applyFont="1" applyFill="1" applyBorder="1" applyAlignment="1">
      <alignment vertical="center"/>
    </xf>
    <xf numFmtId="168" fontId="30" fillId="0" borderId="18" xfId="67" applyNumberFormat="1" applyFont="1" applyFill="1" applyBorder="1" applyAlignment="1" applyProtection="1">
      <alignment horizontal="right" vertical="center"/>
      <protection hidden="1"/>
    </xf>
    <xf numFmtId="183" fontId="32" fillId="0" borderId="18" xfId="0" applyNumberFormat="1" applyFont="1" applyFill="1" applyBorder="1" applyAlignment="1">
      <alignment horizontal="center" vertical="center"/>
    </xf>
    <xf numFmtId="168" fontId="30" fillId="0" borderId="18" xfId="0" applyNumberFormat="1" applyFont="1" applyFill="1" applyBorder="1" applyAlignment="1">
      <alignment vertical="center"/>
    </xf>
    <xf numFmtId="168" fontId="30" fillId="24" borderId="18" xfId="0" applyNumberFormat="1" applyFont="1" applyFill="1" applyBorder="1" applyAlignment="1">
      <alignment vertical="center"/>
    </xf>
    <xf numFmtId="168" fontId="30" fillId="0" borderId="20" xfId="0" applyNumberFormat="1" applyFont="1" applyFill="1" applyBorder="1" applyAlignment="1">
      <alignment vertical="center"/>
    </xf>
    <xf numFmtId="0" fontId="30" fillId="0" borderId="18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168" fontId="30" fillId="24" borderId="13" xfId="0" applyNumberFormat="1" applyFont="1" applyFill="1" applyBorder="1" applyAlignment="1">
      <alignment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168" fontId="30" fillId="7" borderId="17" xfId="0" applyNumberFormat="1" applyFont="1" applyFill="1" applyBorder="1" applyAlignment="1">
      <alignment horizontal="center" vertical="center"/>
    </xf>
    <xf numFmtId="168" fontId="30" fillId="26" borderId="18" xfId="0" applyNumberFormat="1" applyFont="1" applyFill="1" applyBorder="1" applyAlignment="1">
      <alignment horizontal="center" vertical="center"/>
    </xf>
    <xf numFmtId="168" fontId="30" fillId="0" borderId="19" xfId="0" applyNumberFormat="1" applyFont="1" applyFill="1" applyBorder="1" applyAlignment="1">
      <alignment horizontal="center" vertical="center"/>
    </xf>
    <xf numFmtId="168" fontId="30" fillId="26" borderId="1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center"/>
    </xf>
    <xf numFmtId="183" fontId="30" fillId="0" borderId="13" xfId="0" applyNumberFormat="1" applyFont="1" applyFill="1" applyBorder="1" applyAlignment="1">
      <alignment horizontal="center" vertical="center"/>
    </xf>
    <xf numFmtId="0" fontId="30" fillId="24" borderId="23" xfId="0" applyNumberFormat="1" applyFont="1" applyFill="1" applyBorder="1" applyAlignment="1">
      <alignment horizontal="center" vertical="center" wrapText="1"/>
    </xf>
    <xf numFmtId="0" fontId="30" fillId="24" borderId="23" xfId="0" applyNumberFormat="1" applyFont="1" applyFill="1" applyBorder="1" applyAlignment="1">
      <alignment horizontal="center" vertical="center"/>
    </xf>
    <xf numFmtId="10" fontId="30" fillId="0" borderId="13" xfId="0" applyNumberFormat="1" applyFont="1" applyFill="1" applyBorder="1" applyAlignment="1">
      <alignment horizontal="center" vertical="center"/>
    </xf>
    <xf numFmtId="168" fontId="31" fillId="0" borderId="13" xfId="0" applyNumberFormat="1" applyFont="1" applyFill="1" applyBorder="1" applyAlignment="1">
      <alignment horizontal="center" vertical="center"/>
    </xf>
    <xf numFmtId="183" fontId="31" fillId="0" borderId="13" xfId="0" applyNumberFormat="1" applyFont="1" applyFill="1" applyBorder="1" applyAlignment="1">
      <alignment horizontal="center" vertical="center"/>
    </xf>
    <xf numFmtId="1" fontId="31" fillId="24" borderId="13" xfId="0" applyNumberFormat="1" applyFont="1" applyFill="1" applyBorder="1" applyAlignment="1">
      <alignment horizontal="center" vertical="center"/>
    </xf>
    <xf numFmtId="168" fontId="32" fillId="24" borderId="13" xfId="0" applyNumberFormat="1" applyFont="1" applyFill="1" applyBorder="1" applyAlignment="1">
      <alignment horizontal="center" vertical="center"/>
    </xf>
    <xf numFmtId="168" fontId="30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0" fontId="30" fillId="24" borderId="13" xfId="0" applyNumberFormat="1" applyFont="1" applyFill="1" applyBorder="1" applyAlignment="1">
      <alignment horizontal="center" vertical="center"/>
    </xf>
    <xf numFmtId="168" fontId="30" fillId="24" borderId="13" xfId="0" applyNumberFormat="1" applyFont="1" applyFill="1" applyBorder="1" applyAlignment="1">
      <alignment horizontal="center" vertical="center"/>
    </xf>
    <xf numFmtId="168" fontId="31" fillId="0" borderId="13" xfId="0" applyNumberFormat="1" applyFont="1" applyFill="1" applyBorder="1" applyAlignment="1">
      <alignment vertical="center"/>
    </xf>
    <xf numFmtId="168" fontId="30" fillId="0" borderId="13" xfId="67" applyNumberFormat="1" applyFont="1" applyFill="1" applyBorder="1" applyAlignment="1" applyProtection="1">
      <alignment horizontal="right" vertical="center"/>
      <protection hidden="1"/>
    </xf>
    <xf numFmtId="183" fontId="32" fillId="0" borderId="13" xfId="0" applyNumberFormat="1" applyFont="1" applyFill="1" applyBorder="1" applyAlignment="1">
      <alignment horizontal="center" vertical="center"/>
    </xf>
    <xf numFmtId="168" fontId="30" fillId="0" borderId="13" xfId="0" applyNumberFormat="1" applyFont="1" applyFill="1" applyBorder="1" applyAlignment="1">
      <alignment vertical="center"/>
    </xf>
    <xf numFmtId="168" fontId="30" fillId="0" borderId="24" xfId="0" applyNumberFormat="1" applyFont="1" applyFill="1" applyBorder="1" applyAlignment="1">
      <alignment vertical="center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168" fontId="30" fillId="0" borderId="23" xfId="0" applyNumberFormat="1" applyFont="1" applyFill="1" applyBorder="1" applyAlignment="1">
      <alignment horizontal="center" vertical="center"/>
    </xf>
    <xf numFmtId="182" fontId="30" fillId="24" borderId="23" xfId="0" applyNumberFormat="1" applyFont="1" applyFill="1" applyBorder="1" applyAlignment="1">
      <alignment horizontal="center" vertical="center" wrapText="1"/>
    </xf>
    <xf numFmtId="168" fontId="30" fillId="26" borderId="23" xfId="0" applyNumberFormat="1" applyFont="1" applyFill="1" applyBorder="1" applyAlignment="1">
      <alignment horizontal="center" vertical="center"/>
    </xf>
    <xf numFmtId="168" fontId="30" fillId="0" borderId="0" xfId="0" applyNumberFormat="1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25" xfId="0" applyFont="1" applyFill="1" applyBorder="1" applyAlignment="1">
      <alignment horizontal="center" vertical="center"/>
    </xf>
    <xf numFmtId="183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 wrapText="1"/>
    </xf>
    <xf numFmtId="10" fontId="30" fillId="0" borderId="27" xfId="0" applyNumberFormat="1" applyFont="1" applyFill="1" applyBorder="1" applyAlignment="1">
      <alignment horizontal="center" vertical="center"/>
    </xf>
    <xf numFmtId="0" fontId="30" fillId="24" borderId="28" xfId="0" applyNumberFormat="1" applyFont="1" applyFill="1" applyBorder="1" applyAlignment="1">
      <alignment horizontal="center" vertical="center"/>
    </xf>
    <xf numFmtId="168" fontId="31" fillId="0" borderId="27" xfId="0" applyNumberFormat="1" applyFont="1" applyFill="1" applyBorder="1" applyAlignment="1">
      <alignment horizontal="center" vertical="center"/>
    </xf>
    <xf numFmtId="183" fontId="31" fillId="0" borderId="27" xfId="0" applyNumberFormat="1" applyFont="1" applyFill="1" applyBorder="1" applyAlignment="1">
      <alignment horizontal="center" vertical="center"/>
    </xf>
    <xf numFmtId="1" fontId="31" fillId="24" borderId="27" xfId="0" applyNumberFormat="1" applyFont="1" applyFill="1" applyBorder="1" applyAlignment="1">
      <alignment horizontal="center" vertical="center"/>
    </xf>
    <xf numFmtId="168" fontId="32" fillId="24" borderId="27" xfId="0" applyNumberFormat="1" applyFont="1" applyFill="1" applyBorder="1" applyAlignment="1">
      <alignment horizontal="center" vertical="center"/>
    </xf>
    <xf numFmtId="168" fontId="30" fillId="0" borderId="27" xfId="0" applyNumberFormat="1" applyFont="1" applyFill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30" fillId="24" borderId="27" xfId="0" applyNumberFormat="1" applyFont="1" applyFill="1" applyBorder="1" applyAlignment="1">
      <alignment horizontal="center" vertical="center"/>
    </xf>
    <xf numFmtId="168" fontId="30" fillId="24" borderId="27" xfId="0" applyNumberFormat="1" applyFont="1" applyFill="1" applyBorder="1" applyAlignment="1">
      <alignment horizontal="center" vertical="center"/>
    </xf>
    <xf numFmtId="168" fontId="31" fillId="0" borderId="27" xfId="0" applyNumberFormat="1" applyFont="1" applyFill="1" applyBorder="1" applyAlignment="1">
      <alignment vertical="center"/>
    </xf>
    <xf numFmtId="168" fontId="30" fillId="0" borderId="27" xfId="67" applyNumberFormat="1" applyFont="1" applyFill="1" applyBorder="1" applyAlignment="1" applyProtection="1">
      <alignment horizontal="right" vertical="center"/>
      <protection hidden="1"/>
    </xf>
    <xf numFmtId="183" fontId="32" fillId="0" borderId="27" xfId="0" applyNumberFormat="1" applyFont="1" applyFill="1" applyBorder="1" applyAlignment="1">
      <alignment horizontal="center" vertical="center"/>
    </xf>
    <xf numFmtId="168" fontId="30" fillId="0" borderId="27" xfId="0" applyNumberFormat="1" applyFont="1" applyFill="1" applyBorder="1" applyAlignment="1">
      <alignment vertical="center"/>
    </xf>
    <xf numFmtId="168" fontId="30" fillId="24" borderId="27" xfId="0" applyNumberFormat="1" applyFont="1" applyFill="1" applyBorder="1" applyAlignment="1">
      <alignment vertical="center"/>
    </xf>
    <xf numFmtId="168" fontId="30" fillId="0" borderId="29" xfId="0" applyNumberFormat="1" applyFont="1" applyFill="1" applyBorder="1" applyAlignment="1">
      <alignment vertical="center"/>
    </xf>
    <xf numFmtId="0" fontId="30" fillId="0" borderId="30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168" fontId="30" fillId="26" borderId="30" xfId="0" applyNumberFormat="1" applyFont="1" applyFill="1" applyBorder="1" applyAlignment="1">
      <alignment horizontal="center" vertical="center"/>
    </xf>
    <xf numFmtId="168" fontId="30" fillId="26" borderId="2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/>
    </xf>
    <xf numFmtId="168" fontId="24" fillId="0" borderId="32" xfId="0" applyNumberFormat="1" applyFont="1" applyFill="1" applyBorder="1" applyAlignment="1">
      <alignment horizontal="center"/>
    </xf>
    <xf numFmtId="168" fontId="24" fillId="24" borderId="34" xfId="0" applyNumberFormat="1" applyFont="1" applyFill="1" applyBorder="1" applyAlignment="1">
      <alignment horizontal="center"/>
    </xf>
    <xf numFmtId="173" fontId="24" fillId="0" borderId="32" xfId="0" applyNumberFormat="1" applyFont="1" applyFill="1" applyBorder="1" applyAlignment="1">
      <alignment vertical="center"/>
    </xf>
    <xf numFmtId="173" fontId="24" fillId="0" borderId="35" xfId="0" applyNumberFormat="1" applyFont="1" applyFill="1" applyBorder="1" applyAlignment="1">
      <alignment vertical="center"/>
    </xf>
    <xf numFmtId="183" fontId="24" fillId="0" borderId="35" xfId="0" applyNumberFormat="1" applyFont="1" applyFill="1" applyBorder="1" applyAlignment="1">
      <alignment horizontal="center" vertical="center"/>
    </xf>
    <xf numFmtId="183" fontId="24" fillId="28" borderId="35" xfId="0" applyNumberFormat="1" applyFont="1" applyFill="1" applyBorder="1" applyAlignment="1">
      <alignment horizontal="center" vertical="center"/>
    </xf>
    <xf numFmtId="10" fontId="24" fillId="0" borderId="35" xfId="0" applyNumberFormat="1" applyFont="1" applyFill="1" applyBorder="1" applyAlignment="1">
      <alignment horizontal="center" vertical="center"/>
    </xf>
    <xf numFmtId="183" fontId="24" fillId="0" borderId="35" xfId="0" applyNumberFormat="1" applyFont="1" applyFill="1" applyBorder="1" applyAlignment="1">
      <alignment horizontal="center" vertical="center" wrapText="1"/>
    </xf>
    <xf numFmtId="173" fontId="24" fillId="0" borderId="35" xfId="0" applyNumberFormat="1" applyFont="1" applyFill="1" applyBorder="1" applyAlignment="1">
      <alignment/>
    </xf>
    <xf numFmtId="173" fontId="33" fillId="0" borderId="35" xfId="0" applyNumberFormat="1" applyFont="1" applyFill="1" applyBorder="1" applyAlignment="1">
      <alignment/>
    </xf>
    <xf numFmtId="183" fontId="33" fillId="0" borderId="35" xfId="0" applyNumberFormat="1" applyFont="1" applyFill="1" applyBorder="1" applyAlignment="1">
      <alignment horizontal="center" vertical="top" wrapText="1"/>
    </xf>
    <xf numFmtId="168" fontId="33" fillId="24" borderId="35" xfId="0" applyNumberFormat="1" applyFont="1" applyFill="1" applyBorder="1" applyAlignment="1">
      <alignment horizontal="center"/>
    </xf>
    <xf numFmtId="168" fontId="25" fillId="24" borderId="35" xfId="0" applyNumberFormat="1" applyFont="1" applyFill="1" applyBorder="1" applyAlignment="1">
      <alignment horizontal="center"/>
    </xf>
    <xf numFmtId="183" fontId="24" fillId="0" borderId="35" xfId="0" applyNumberFormat="1" applyFont="1" applyFill="1" applyBorder="1" applyAlignment="1">
      <alignment horizontal="center" vertical="top" wrapText="1"/>
    </xf>
    <xf numFmtId="168" fontId="24" fillId="24" borderId="35" xfId="0" applyNumberFormat="1" applyFont="1" applyFill="1" applyBorder="1" applyAlignment="1">
      <alignment horizontal="center"/>
    </xf>
    <xf numFmtId="168" fontId="24" fillId="0" borderId="35" xfId="0" applyNumberFormat="1" applyFont="1" applyFill="1" applyBorder="1" applyAlignment="1">
      <alignment horizontal="center"/>
    </xf>
    <xf numFmtId="0" fontId="24" fillId="24" borderId="35" xfId="0" applyNumberFormat="1" applyFont="1" applyFill="1" applyBorder="1" applyAlignment="1">
      <alignment horizontal="center" vertical="top" wrapText="1"/>
    </xf>
    <xf numFmtId="168" fontId="24" fillId="24" borderId="35" xfId="0" applyNumberFormat="1" applyFont="1" applyFill="1" applyBorder="1" applyAlignment="1">
      <alignment horizontal="center" vertical="top" wrapText="1"/>
    </xf>
    <xf numFmtId="168" fontId="24" fillId="0" borderId="35" xfId="0" applyNumberFormat="1" applyFont="1" applyFill="1" applyBorder="1" applyAlignment="1">
      <alignment horizontal="center" vertical="top" wrapText="1"/>
    </xf>
    <xf numFmtId="183" fontId="24" fillId="0" borderId="35" xfId="0" applyNumberFormat="1" applyFont="1" applyFill="1" applyBorder="1" applyAlignment="1">
      <alignment horizontal="center" wrapText="1"/>
    </xf>
    <xf numFmtId="173" fontId="25" fillId="0" borderId="35" xfId="0" applyNumberFormat="1" applyFont="1" applyFill="1" applyBorder="1" applyAlignment="1">
      <alignment horizontal="center"/>
    </xf>
    <xf numFmtId="168" fontId="24" fillId="0" borderId="36" xfId="0" applyNumberFormat="1" applyFont="1" applyFill="1" applyBorder="1" applyAlignment="1">
      <alignment horizontal="center"/>
    </xf>
    <xf numFmtId="168" fontId="24" fillId="24" borderId="37" xfId="0" applyNumberFormat="1" applyFont="1" applyFill="1" applyBorder="1" applyAlignment="1">
      <alignment horizontal="center"/>
    </xf>
    <xf numFmtId="1" fontId="24" fillId="0" borderId="35" xfId="0" applyNumberFormat="1" applyFont="1" applyFill="1" applyBorder="1" applyAlignment="1">
      <alignment horizontal="center" vertical="top" wrapText="1"/>
    </xf>
    <xf numFmtId="168" fontId="24" fillId="26" borderId="35" xfId="0" applyNumberFormat="1" applyFont="1" applyFill="1" applyBorder="1" applyAlignment="1">
      <alignment horizontal="center" vertical="center"/>
    </xf>
    <xf numFmtId="168" fontId="24" fillId="0" borderId="34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68" fontId="23" fillId="0" borderId="0" xfId="0" applyNumberFormat="1" applyFont="1" applyFill="1" applyBorder="1" applyAlignment="1">
      <alignment/>
    </xf>
    <xf numFmtId="0" fontId="23" fillId="28" borderId="0" xfId="0" applyFont="1" applyFill="1" applyBorder="1" applyAlignment="1">
      <alignment/>
    </xf>
    <xf numFmtId="173" fontId="23" fillId="0" borderId="0" xfId="0" applyNumberFormat="1" applyFont="1" applyFill="1" applyBorder="1" applyAlignment="1">
      <alignment/>
    </xf>
    <xf numFmtId="168" fontId="30" fillId="10" borderId="18" xfId="0" applyNumberFormat="1" applyFont="1" applyFill="1" applyBorder="1" applyAlignment="1">
      <alignment horizontal="center" vertical="center"/>
    </xf>
    <xf numFmtId="168" fontId="30" fillId="10" borderId="13" xfId="0" applyNumberFormat="1" applyFont="1" applyFill="1" applyBorder="1" applyAlignment="1">
      <alignment horizontal="center" vertical="center"/>
    </xf>
    <xf numFmtId="168" fontId="30" fillId="10" borderId="27" xfId="0" applyNumberFormat="1" applyFont="1" applyFill="1" applyBorder="1" applyAlignment="1">
      <alignment horizontal="center" vertical="center"/>
    </xf>
    <xf numFmtId="0" fontId="30" fillId="24" borderId="38" xfId="0" applyNumberFormat="1" applyFont="1" applyFill="1" applyBorder="1" applyAlignment="1">
      <alignment horizontal="center" vertical="center" wrapText="1"/>
    </xf>
    <xf numFmtId="0" fontId="30" fillId="24" borderId="22" xfId="0" applyNumberFormat="1" applyFont="1" applyFill="1" applyBorder="1" applyAlignment="1">
      <alignment horizontal="center" vertical="center" wrapText="1"/>
    </xf>
    <xf numFmtId="0" fontId="30" fillId="24" borderId="26" xfId="0" applyNumberFormat="1" applyFont="1" applyFill="1" applyBorder="1" applyAlignment="1">
      <alignment horizontal="center" vertical="center" wrapText="1"/>
    </xf>
    <xf numFmtId="168" fontId="24" fillId="0" borderId="3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173" fontId="30" fillId="24" borderId="23" xfId="0" applyNumberFormat="1" applyFont="1" applyFill="1" applyBorder="1" applyAlignment="1">
      <alignment horizontal="center" vertical="center" wrapText="1"/>
    </xf>
    <xf numFmtId="173" fontId="30" fillId="24" borderId="28" xfId="0" applyNumberFormat="1" applyFont="1" applyFill="1" applyBorder="1" applyAlignment="1">
      <alignment horizontal="center" vertical="center" wrapText="1"/>
    </xf>
    <xf numFmtId="173" fontId="30" fillId="24" borderId="19" xfId="0" applyNumberFormat="1" applyFont="1" applyFill="1" applyBorder="1" applyAlignment="1">
      <alignment horizontal="center" vertical="center" wrapText="1"/>
    </xf>
    <xf numFmtId="173" fontId="30" fillId="24" borderId="19" xfId="0" applyNumberFormat="1" applyFont="1" applyFill="1" applyBorder="1" applyAlignment="1">
      <alignment horizontal="center" vertical="center"/>
    </xf>
    <xf numFmtId="173" fontId="30" fillId="24" borderId="23" xfId="0" applyNumberFormat="1" applyFont="1" applyFill="1" applyBorder="1" applyAlignment="1">
      <alignment horizontal="center" vertical="center"/>
    </xf>
    <xf numFmtId="173" fontId="30" fillId="24" borderId="28" xfId="0" applyNumberFormat="1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 wrapText="1"/>
    </xf>
    <xf numFmtId="168" fontId="30" fillId="24" borderId="23" xfId="0" applyNumberFormat="1" applyFont="1" applyFill="1" applyBorder="1" applyAlignment="1">
      <alignment horizontal="center" vertical="center"/>
    </xf>
    <xf numFmtId="168" fontId="30" fillId="24" borderId="23" xfId="0" applyNumberFormat="1" applyFont="1" applyFill="1" applyBorder="1" applyAlignment="1">
      <alignment horizontal="center" vertical="center" wrapText="1"/>
    </xf>
    <xf numFmtId="168" fontId="30" fillId="24" borderId="28" xfId="0" applyNumberFormat="1" applyFont="1" applyFill="1" applyBorder="1" applyAlignment="1">
      <alignment horizontal="center" vertical="center"/>
    </xf>
    <xf numFmtId="168" fontId="30" fillId="24" borderId="39" xfId="0" applyNumberFormat="1" applyFont="1" applyFill="1" applyBorder="1" applyAlignment="1">
      <alignment horizontal="center" vertical="center"/>
    </xf>
    <xf numFmtId="168" fontId="24" fillId="24" borderId="40" xfId="0" applyNumberFormat="1" applyFont="1" applyFill="1" applyBorder="1" applyAlignment="1">
      <alignment horizontal="center"/>
    </xf>
    <xf numFmtId="168" fontId="24" fillId="0" borderId="37" xfId="0" applyNumberFormat="1" applyFont="1" applyFill="1" applyBorder="1" applyAlignment="1">
      <alignment horizontal="center"/>
    </xf>
    <xf numFmtId="168" fontId="24" fillId="0" borderId="41" xfId="0" applyNumberFormat="1" applyFont="1" applyFill="1" applyBorder="1" applyAlignment="1">
      <alignment horizontal="center"/>
    </xf>
    <xf numFmtId="168" fontId="30" fillId="24" borderId="18" xfId="0" applyNumberFormat="1" applyFont="1" applyFill="1" applyBorder="1" applyAlignment="1">
      <alignment horizontal="center"/>
    </xf>
    <xf numFmtId="168" fontId="30" fillId="24" borderId="13" xfId="0" applyNumberFormat="1" applyFont="1" applyFill="1" applyBorder="1" applyAlignment="1">
      <alignment horizontal="center"/>
    </xf>
    <xf numFmtId="168" fontId="30" fillId="24" borderId="27" xfId="0" applyNumberFormat="1" applyFont="1" applyFill="1" applyBorder="1" applyAlignment="1">
      <alignment horizontal="center"/>
    </xf>
    <xf numFmtId="183" fontId="25" fillId="0" borderId="33" xfId="0" applyNumberFormat="1" applyFont="1" applyFill="1" applyBorder="1" applyAlignment="1">
      <alignment horizontal="center" vertical="top" wrapText="1"/>
    </xf>
    <xf numFmtId="168" fontId="30" fillId="0" borderId="13" xfId="0" applyNumberFormat="1" applyFont="1" applyFill="1" applyBorder="1" applyAlignment="1">
      <alignment horizontal="center"/>
    </xf>
    <xf numFmtId="168" fontId="30" fillId="0" borderId="27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168" fontId="30" fillId="24" borderId="22" xfId="0" applyNumberFormat="1" applyFont="1" applyFill="1" applyBorder="1" applyAlignment="1">
      <alignment horizontal="center" vertical="center"/>
    </xf>
    <xf numFmtId="168" fontId="30" fillId="0" borderId="42" xfId="0" applyNumberFormat="1" applyFont="1" applyFill="1" applyBorder="1" applyAlignment="1">
      <alignment horizontal="center" vertical="center"/>
    </xf>
    <xf numFmtId="168" fontId="30" fillId="24" borderId="4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/>
    </xf>
    <xf numFmtId="168" fontId="30" fillId="0" borderId="44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/>
    </xf>
    <xf numFmtId="168" fontId="30" fillId="24" borderId="26" xfId="0" applyNumberFormat="1" applyFont="1" applyFill="1" applyBorder="1" applyAlignment="1">
      <alignment horizontal="center" vertical="center"/>
    </xf>
    <xf numFmtId="168" fontId="30" fillId="0" borderId="45" xfId="0" applyNumberFormat="1" applyFont="1" applyFill="1" applyBorder="1" applyAlignment="1">
      <alignment horizontal="center" vertical="center"/>
    </xf>
    <xf numFmtId="168" fontId="30" fillId="24" borderId="0" xfId="0" applyNumberFormat="1" applyFont="1" applyFill="1" applyBorder="1" applyAlignment="1">
      <alignment horizontal="center" vertical="center"/>
    </xf>
    <xf numFmtId="185" fontId="30" fillId="24" borderId="13" xfId="0" applyNumberFormat="1" applyFont="1" applyFill="1" applyBorder="1" applyAlignment="1">
      <alignment vertical="top" wrapText="1"/>
    </xf>
    <xf numFmtId="173" fontId="30" fillId="0" borderId="20" xfId="0" applyNumberFormat="1" applyFont="1" applyFill="1" applyBorder="1" applyAlignment="1">
      <alignment horizontal="center" vertical="center"/>
    </xf>
    <xf numFmtId="173" fontId="30" fillId="0" borderId="18" xfId="0" applyNumberFormat="1" applyFont="1" applyFill="1" applyBorder="1" applyAlignment="1">
      <alignment horizontal="center" vertical="center"/>
    </xf>
    <xf numFmtId="173" fontId="30" fillId="0" borderId="24" xfId="0" applyNumberFormat="1" applyFont="1" applyFill="1" applyBorder="1" applyAlignment="1">
      <alignment horizontal="center" vertical="center"/>
    </xf>
    <xf numFmtId="173" fontId="30" fillId="0" borderId="13" xfId="0" applyNumberFormat="1" applyFont="1" applyFill="1" applyBorder="1" applyAlignment="1">
      <alignment horizontal="center" vertical="center"/>
    </xf>
    <xf numFmtId="173" fontId="30" fillId="0" borderId="29" xfId="0" applyNumberFormat="1" applyFont="1" applyFill="1" applyBorder="1" applyAlignment="1">
      <alignment horizontal="center" vertical="center"/>
    </xf>
    <xf numFmtId="173" fontId="30" fillId="0" borderId="27" xfId="0" applyNumberFormat="1" applyFont="1" applyFill="1" applyBorder="1" applyAlignment="1">
      <alignment horizontal="center" vertical="center"/>
    </xf>
    <xf numFmtId="173" fontId="30" fillId="0" borderId="17" xfId="0" applyNumberFormat="1" applyFont="1" applyFill="1" applyBorder="1" applyAlignment="1">
      <alignment horizontal="center" vertical="center"/>
    </xf>
    <xf numFmtId="173" fontId="30" fillId="0" borderId="21" xfId="0" applyNumberFormat="1" applyFont="1" applyFill="1" applyBorder="1" applyAlignment="1">
      <alignment horizontal="center" vertical="center"/>
    </xf>
    <xf numFmtId="173" fontId="30" fillId="0" borderId="25" xfId="0" applyNumberFormat="1" applyFont="1" applyFill="1" applyBorder="1" applyAlignment="1">
      <alignment horizontal="center" vertical="center"/>
    </xf>
    <xf numFmtId="173" fontId="24" fillId="0" borderId="32" xfId="0" applyNumberFormat="1" applyFont="1" applyFill="1" applyBorder="1" applyAlignment="1">
      <alignment horizontal="center" vertical="center"/>
    </xf>
    <xf numFmtId="173" fontId="24" fillId="0" borderId="35" xfId="0" applyNumberFormat="1" applyFont="1" applyFill="1" applyBorder="1" applyAlignment="1">
      <alignment horizontal="center" vertical="center"/>
    </xf>
    <xf numFmtId="173" fontId="30" fillId="0" borderId="17" xfId="0" applyNumberFormat="1" applyFont="1" applyFill="1" applyBorder="1" applyAlignment="1">
      <alignment horizontal="center" wrapText="1"/>
    </xf>
    <xf numFmtId="173" fontId="30" fillId="0" borderId="18" xfId="0" applyNumberFormat="1" applyFont="1" applyFill="1" applyBorder="1" applyAlignment="1">
      <alignment horizontal="center" wrapText="1"/>
    </xf>
    <xf numFmtId="173" fontId="30" fillId="0" borderId="21" xfId="0" applyNumberFormat="1" applyFont="1" applyFill="1" applyBorder="1" applyAlignment="1">
      <alignment horizontal="center" wrapText="1"/>
    </xf>
    <xf numFmtId="173" fontId="30" fillId="0" borderId="13" xfId="0" applyNumberFormat="1" applyFont="1" applyFill="1" applyBorder="1" applyAlignment="1">
      <alignment horizontal="center" wrapText="1"/>
    </xf>
    <xf numFmtId="173" fontId="30" fillId="0" borderId="21" xfId="0" applyNumberFormat="1" applyFont="1" applyFill="1" applyBorder="1" applyAlignment="1">
      <alignment horizontal="center" vertical="center" wrapText="1"/>
    </xf>
    <xf numFmtId="173" fontId="30" fillId="0" borderId="25" xfId="0" applyNumberFormat="1" applyFont="1" applyFill="1" applyBorder="1" applyAlignment="1">
      <alignment horizontal="center" wrapText="1"/>
    </xf>
    <xf numFmtId="173" fontId="30" fillId="0" borderId="27" xfId="0" applyNumberFormat="1" applyFont="1" applyFill="1" applyBorder="1" applyAlignment="1">
      <alignment horizontal="center" wrapText="1"/>
    </xf>
    <xf numFmtId="173" fontId="24" fillId="0" borderId="32" xfId="0" applyNumberFormat="1" applyFont="1" applyFill="1" applyBorder="1" applyAlignment="1">
      <alignment horizontal="center"/>
    </xf>
    <xf numFmtId="173" fontId="24" fillId="0" borderId="35" xfId="0" applyNumberFormat="1" applyFont="1" applyFill="1" applyBorder="1" applyAlignment="1">
      <alignment horizontal="center"/>
    </xf>
    <xf numFmtId="173" fontId="24" fillId="0" borderId="35" xfId="0" applyNumberFormat="1" applyFont="1" applyFill="1" applyBorder="1" applyAlignment="1">
      <alignment horizontal="center" wrapText="1"/>
    </xf>
    <xf numFmtId="0" fontId="31" fillId="24" borderId="18" xfId="0" applyNumberFormat="1" applyFont="1" applyFill="1" applyBorder="1" applyAlignment="1">
      <alignment horizontal="center" vertical="center"/>
    </xf>
    <xf numFmtId="0" fontId="31" fillId="24" borderId="30" xfId="0" applyNumberFormat="1" applyFont="1" applyFill="1" applyBorder="1" applyAlignment="1">
      <alignment horizontal="center" vertical="center"/>
    </xf>
    <xf numFmtId="0" fontId="31" fillId="24" borderId="13" xfId="0" applyNumberFormat="1" applyFont="1" applyFill="1" applyBorder="1" applyAlignment="1">
      <alignment horizontal="center" vertical="center"/>
    </xf>
    <xf numFmtId="0" fontId="31" fillId="24" borderId="27" xfId="0" applyNumberFormat="1" applyFont="1" applyFill="1" applyBorder="1" applyAlignment="1">
      <alignment horizontal="center" vertical="center"/>
    </xf>
    <xf numFmtId="183" fontId="24" fillId="0" borderId="46" xfId="0" applyNumberFormat="1" applyFont="1" applyFill="1" applyBorder="1" applyAlignment="1">
      <alignment horizontal="center" wrapText="1"/>
    </xf>
    <xf numFmtId="183" fontId="30" fillId="0" borderId="13" xfId="0" applyNumberFormat="1" applyFont="1" applyFill="1" applyBorder="1" applyAlignment="1">
      <alignment horizontal="center" wrapText="1"/>
    </xf>
    <xf numFmtId="168" fontId="31" fillId="24" borderId="18" xfId="0" applyNumberFormat="1" applyFont="1" applyFill="1" applyBorder="1" applyAlignment="1">
      <alignment horizontal="center" vertical="center"/>
    </xf>
    <xf numFmtId="168" fontId="31" fillId="24" borderId="30" xfId="0" applyNumberFormat="1" applyFont="1" applyFill="1" applyBorder="1" applyAlignment="1">
      <alignment horizontal="center" vertical="center"/>
    </xf>
    <xf numFmtId="2" fontId="31" fillId="24" borderId="38" xfId="0" applyNumberFormat="1" applyFont="1" applyFill="1" applyBorder="1" applyAlignment="1">
      <alignment vertical="center"/>
    </xf>
    <xf numFmtId="2" fontId="31" fillId="24" borderId="47" xfId="0" applyNumberFormat="1" applyFont="1" applyFill="1" applyBorder="1" applyAlignment="1">
      <alignment vertical="center"/>
    </xf>
    <xf numFmtId="2" fontId="33" fillId="24" borderId="32" xfId="0" applyNumberFormat="1" applyFont="1" applyFill="1" applyBorder="1" applyAlignment="1">
      <alignment horizontal="center" vertical="top" wrapText="1"/>
    </xf>
    <xf numFmtId="168" fontId="31" fillId="24" borderId="13" xfId="0" applyNumberFormat="1" applyFont="1" applyFill="1" applyBorder="1" applyAlignment="1">
      <alignment horizontal="center"/>
    </xf>
    <xf numFmtId="168" fontId="31" fillId="24" borderId="27" xfId="0" applyNumberFormat="1" applyFont="1" applyFill="1" applyBorder="1" applyAlignment="1">
      <alignment horizontal="center"/>
    </xf>
    <xf numFmtId="168" fontId="33" fillId="24" borderId="48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1" fontId="31" fillId="0" borderId="18" xfId="0" applyNumberFormat="1" applyFont="1" applyFill="1" applyBorder="1" applyAlignment="1">
      <alignment horizontal="center" vertical="center"/>
    </xf>
    <xf numFmtId="168" fontId="31" fillId="24" borderId="19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 wrapText="1"/>
    </xf>
    <xf numFmtId="173" fontId="31" fillId="24" borderId="18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/>
    </xf>
    <xf numFmtId="1" fontId="31" fillId="0" borderId="27" xfId="0" applyNumberFormat="1" applyFont="1" applyFill="1" applyBorder="1" applyAlignment="1">
      <alignment horizontal="center" vertical="center"/>
    </xf>
    <xf numFmtId="168" fontId="31" fillId="24" borderId="39" xfId="0" applyNumberFormat="1" applyFont="1" applyFill="1" applyBorder="1" applyAlignment="1">
      <alignment horizontal="center" vertical="center"/>
    </xf>
    <xf numFmtId="1" fontId="31" fillId="0" borderId="27" xfId="0" applyNumberFormat="1" applyFont="1" applyFill="1" applyBorder="1" applyAlignment="1">
      <alignment horizontal="center" vertical="center" wrapText="1"/>
    </xf>
    <xf numFmtId="168" fontId="33" fillId="0" borderId="48" xfId="0" applyNumberFormat="1" applyFont="1" applyFill="1" applyBorder="1" applyAlignment="1">
      <alignment horizontal="center"/>
    </xf>
    <xf numFmtId="168" fontId="33" fillId="24" borderId="49" xfId="0" applyNumberFormat="1" applyFont="1" applyFill="1" applyBorder="1" applyAlignment="1">
      <alignment horizontal="center"/>
    </xf>
    <xf numFmtId="168" fontId="33" fillId="0" borderId="35" xfId="0" applyNumberFormat="1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/>
    </xf>
    <xf numFmtId="168" fontId="31" fillId="24" borderId="18" xfId="0" applyNumberFormat="1" applyFont="1" applyFill="1" applyBorder="1" applyAlignment="1">
      <alignment horizontal="center"/>
    </xf>
    <xf numFmtId="168" fontId="33" fillId="0" borderId="18" xfId="0" applyNumberFormat="1" applyFont="1" applyFill="1" applyBorder="1" applyAlignment="1">
      <alignment horizontal="center" vertical="center"/>
    </xf>
    <xf numFmtId="168" fontId="33" fillId="0" borderId="13" xfId="0" applyNumberFormat="1" applyFont="1" applyFill="1" applyBorder="1" applyAlignment="1">
      <alignment horizontal="center" vertical="center"/>
    </xf>
    <xf numFmtId="1" fontId="31" fillId="24" borderId="30" xfId="0" applyNumberFormat="1" applyFont="1" applyFill="1" applyBorder="1" applyAlignment="1">
      <alignment horizontal="center" vertical="center"/>
    </xf>
    <xf numFmtId="168" fontId="33" fillId="0" borderId="27" xfId="0" applyNumberFormat="1" applyFont="1" applyFill="1" applyBorder="1" applyAlignment="1">
      <alignment horizontal="center" vertical="center"/>
    </xf>
    <xf numFmtId="168" fontId="33" fillId="0" borderId="51" xfId="0" applyNumberFormat="1" applyFont="1" applyFill="1" applyBorder="1" applyAlignment="1">
      <alignment horizontal="center"/>
    </xf>
    <xf numFmtId="168" fontId="33" fillId="0" borderId="32" xfId="0" applyNumberFormat="1" applyFont="1" applyFill="1" applyBorder="1" applyAlignment="1">
      <alignment horizontal="center" vertical="center"/>
    </xf>
    <xf numFmtId="168" fontId="33" fillId="24" borderId="51" xfId="0" applyNumberFormat="1" applyFont="1" applyFill="1" applyBorder="1" applyAlignment="1">
      <alignment horizontal="center"/>
    </xf>
    <xf numFmtId="168" fontId="33" fillId="0" borderId="41" xfId="0" applyNumberFormat="1" applyFont="1" applyFill="1" applyBorder="1" applyAlignment="1">
      <alignment horizontal="center"/>
    </xf>
    <xf numFmtId="168" fontId="33" fillId="0" borderId="3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168" fontId="31" fillId="0" borderId="20" xfId="0" applyNumberFormat="1" applyFont="1" applyFill="1" applyBorder="1" applyAlignment="1">
      <alignment horizontal="center" vertical="center"/>
    </xf>
    <xf numFmtId="173" fontId="31" fillId="24" borderId="23" xfId="0" applyNumberFormat="1" applyFont="1" applyFill="1" applyBorder="1" applyAlignment="1">
      <alignment horizontal="center" vertical="center"/>
    </xf>
    <xf numFmtId="168" fontId="31" fillId="0" borderId="24" xfId="0" applyNumberFormat="1" applyFont="1" applyFill="1" applyBorder="1" applyAlignment="1">
      <alignment horizontal="center" vertical="center"/>
    </xf>
    <xf numFmtId="168" fontId="31" fillId="24" borderId="13" xfId="0" applyNumberFormat="1" applyFont="1" applyFill="1" applyBorder="1" applyAlignment="1">
      <alignment horizontal="center" vertical="center"/>
    </xf>
    <xf numFmtId="168" fontId="31" fillId="0" borderId="29" xfId="0" applyNumberFormat="1" applyFont="1" applyFill="1" applyBorder="1" applyAlignment="1">
      <alignment horizontal="center" vertical="center"/>
    </xf>
    <xf numFmtId="168" fontId="31" fillId="24" borderId="27" xfId="0" applyNumberFormat="1" applyFont="1" applyFill="1" applyBorder="1" applyAlignment="1">
      <alignment horizontal="center" vertical="center"/>
    </xf>
    <xf numFmtId="168" fontId="33" fillId="0" borderId="32" xfId="0" applyNumberFormat="1" applyFont="1" applyFill="1" applyBorder="1" applyAlignment="1">
      <alignment horizontal="center"/>
    </xf>
    <xf numFmtId="168" fontId="33" fillId="24" borderId="40" xfId="0" applyNumberFormat="1" applyFont="1" applyFill="1" applyBorder="1" applyAlignment="1">
      <alignment horizontal="center"/>
    </xf>
    <xf numFmtId="168" fontId="33" fillId="0" borderId="35" xfId="0" applyNumberFormat="1" applyFont="1" applyFill="1" applyBorder="1" applyAlignment="1">
      <alignment horizontal="center"/>
    </xf>
    <xf numFmtId="173" fontId="31" fillId="24" borderId="18" xfId="0" applyNumberFormat="1" applyFont="1" applyFill="1" applyBorder="1" applyAlignment="1">
      <alignment horizontal="center" vertical="center"/>
    </xf>
    <xf numFmtId="173" fontId="31" fillId="24" borderId="13" xfId="0" applyNumberFormat="1" applyFont="1" applyFill="1" applyBorder="1" applyAlignment="1">
      <alignment horizontal="center" vertical="center"/>
    </xf>
    <xf numFmtId="173" fontId="31" fillId="24" borderId="27" xfId="0" applyNumberFormat="1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 wrapText="1"/>
    </xf>
    <xf numFmtId="0" fontId="28" fillId="24" borderId="37" xfId="0" applyFont="1" applyFill="1" applyBorder="1" applyAlignment="1">
      <alignment horizontal="center" vertical="center" wrapText="1"/>
    </xf>
    <xf numFmtId="168" fontId="33" fillId="0" borderId="33" xfId="0" applyNumberFormat="1" applyFont="1" applyFill="1" applyBorder="1" applyAlignment="1">
      <alignment horizontal="center"/>
    </xf>
    <xf numFmtId="168" fontId="33" fillId="24" borderId="37" xfId="0" applyNumberFormat="1" applyFont="1" applyFill="1" applyBorder="1" applyAlignment="1">
      <alignment horizontal="center"/>
    </xf>
    <xf numFmtId="0" fontId="28" fillId="24" borderId="52" xfId="0" applyFont="1" applyFill="1" applyBorder="1" applyAlignment="1">
      <alignment horizontal="center" vertical="center" wrapText="1"/>
    </xf>
    <xf numFmtId="168" fontId="31" fillId="0" borderId="30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vertical="top" wrapText="1"/>
    </xf>
    <xf numFmtId="173" fontId="30" fillId="28" borderId="27" xfId="0" applyNumberFormat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center"/>
    </xf>
    <xf numFmtId="168" fontId="32" fillId="24" borderId="23" xfId="0" applyNumberFormat="1" applyFont="1" applyFill="1" applyBorder="1" applyAlignment="1">
      <alignment horizontal="center" vertical="center"/>
    </xf>
    <xf numFmtId="173" fontId="32" fillId="0" borderId="21" xfId="0" applyNumberFormat="1" applyFont="1" applyFill="1" applyBorder="1" applyAlignment="1">
      <alignment horizontal="center" vertical="center"/>
    </xf>
    <xf numFmtId="173" fontId="32" fillId="0" borderId="13" xfId="0" applyNumberFormat="1" applyFont="1" applyFill="1" applyBorder="1" applyAlignment="1">
      <alignment horizontal="center" vertical="center"/>
    </xf>
    <xf numFmtId="173" fontId="32" fillId="24" borderId="23" xfId="0" applyNumberFormat="1" applyFont="1" applyFill="1" applyBorder="1" applyAlignment="1">
      <alignment horizontal="center" vertical="center" wrapText="1"/>
    </xf>
    <xf numFmtId="0" fontId="32" fillId="24" borderId="23" xfId="0" applyNumberFormat="1" applyFont="1" applyFill="1" applyBorder="1" applyAlignment="1">
      <alignment horizontal="center" vertical="center" wrapText="1"/>
    </xf>
    <xf numFmtId="168" fontId="32" fillId="24" borderId="19" xfId="0" applyNumberFormat="1" applyFont="1" applyFill="1" applyBorder="1" applyAlignment="1">
      <alignment horizontal="center" vertical="center"/>
    </xf>
    <xf numFmtId="10" fontId="32" fillId="0" borderId="13" xfId="0" applyNumberFormat="1" applyFont="1" applyFill="1" applyBorder="1" applyAlignment="1">
      <alignment horizontal="center" vertical="center"/>
    </xf>
    <xf numFmtId="173" fontId="32" fillId="24" borderId="23" xfId="0" applyNumberFormat="1" applyFont="1" applyFill="1" applyBorder="1" applyAlignment="1">
      <alignment horizontal="center" vertical="center"/>
    </xf>
    <xf numFmtId="185" fontId="32" fillId="24" borderId="13" xfId="0" applyNumberFormat="1" applyFont="1" applyFill="1" applyBorder="1" applyAlignment="1">
      <alignment vertical="top" wrapText="1"/>
    </xf>
    <xf numFmtId="173" fontId="32" fillId="0" borderId="24" xfId="0" applyNumberFormat="1" applyFont="1" applyFill="1" applyBorder="1" applyAlignment="1">
      <alignment horizontal="center" vertical="center"/>
    </xf>
    <xf numFmtId="0" fontId="32" fillId="24" borderId="23" xfId="0" applyNumberFormat="1" applyFont="1" applyFill="1" applyBorder="1" applyAlignment="1">
      <alignment horizontal="center" vertical="center"/>
    </xf>
    <xf numFmtId="173" fontId="32" fillId="0" borderId="21" xfId="0" applyNumberFormat="1" applyFont="1" applyFill="1" applyBorder="1" applyAlignment="1">
      <alignment horizontal="center" wrapText="1"/>
    </xf>
    <xf numFmtId="173" fontId="32" fillId="0" borderId="13" xfId="0" applyNumberFormat="1" applyFont="1" applyFill="1" applyBorder="1" applyAlignment="1">
      <alignment horizontal="center" wrapText="1"/>
    </xf>
    <xf numFmtId="0" fontId="32" fillId="24" borderId="22" xfId="0" applyNumberFormat="1" applyFont="1" applyFill="1" applyBorder="1" applyAlignment="1">
      <alignment horizontal="center" vertical="center" wrapText="1"/>
    </xf>
    <xf numFmtId="168" fontId="32" fillId="0" borderId="13" xfId="0" applyNumberFormat="1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68" fontId="32" fillId="10" borderId="13" xfId="0" applyNumberFormat="1" applyFont="1" applyFill="1" applyBorder="1" applyAlignment="1">
      <alignment horizontal="center" vertical="center"/>
    </xf>
    <xf numFmtId="0" fontId="32" fillId="24" borderId="18" xfId="0" applyNumberFormat="1" applyFont="1" applyFill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168" fontId="32" fillId="0" borderId="18" xfId="0" applyNumberFormat="1" applyFont="1" applyFill="1" applyBorder="1" applyAlignment="1">
      <alignment horizontal="center" vertical="center"/>
    </xf>
    <xf numFmtId="0" fontId="32" fillId="24" borderId="13" xfId="0" applyNumberFormat="1" applyFont="1" applyFill="1" applyBorder="1" applyAlignment="1">
      <alignment horizontal="center" vertical="center"/>
    </xf>
    <xf numFmtId="168" fontId="32" fillId="0" borderId="13" xfId="0" applyNumberFormat="1" applyFont="1" applyFill="1" applyBorder="1" applyAlignment="1">
      <alignment vertical="center"/>
    </xf>
    <xf numFmtId="168" fontId="32" fillId="0" borderId="13" xfId="67" applyNumberFormat="1" applyFont="1" applyFill="1" applyBorder="1" applyAlignment="1" applyProtection="1">
      <alignment horizontal="right" vertical="center"/>
      <protection hidden="1"/>
    </xf>
    <xf numFmtId="183" fontId="32" fillId="0" borderId="13" xfId="0" applyNumberFormat="1" applyFont="1" applyFill="1" applyBorder="1" applyAlignment="1">
      <alignment horizontal="center" wrapText="1"/>
    </xf>
    <xf numFmtId="2" fontId="32" fillId="24" borderId="38" xfId="0" applyNumberFormat="1" applyFont="1" applyFill="1" applyBorder="1" applyAlignment="1">
      <alignment vertical="center"/>
    </xf>
    <xf numFmtId="168" fontId="32" fillId="0" borderId="13" xfId="0" applyNumberFormat="1" applyFont="1" applyFill="1" applyBorder="1" applyAlignment="1">
      <alignment horizontal="center"/>
    </xf>
    <xf numFmtId="168" fontId="32" fillId="24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 vertical="center"/>
    </xf>
    <xf numFmtId="1" fontId="32" fillId="24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173" fontId="32" fillId="24" borderId="18" xfId="0" applyNumberFormat="1" applyFont="1" applyFill="1" applyBorder="1" applyAlignment="1">
      <alignment horizontal="center" vertical="center" wrapText="1"/>
    </xf>
    <xf numFmtId="168" fontId="32" fillId="24" borderId="13" xfId="0" applyNumberFormat="1" applyFont="1" applyFill="1" applyBorder="1" applyAlignment="1">
      <alignment vertical="center"/>
    </xf>
    <xf numFmtId="168" fontId="25" fillId="0" borderId="18" xfId="0" applyNumberFormat="1" applyFont="1" applyFill="1" applyBorder="1" applyAlignment="1">
      <alignment horizontal="center" vertical="center"/>
    </xf>
    <xf numFmtId="168" fontId="32" fillId="0" borderId="24" xfId="0" applyNumberFormat="1" applyFont="1" applyFill="1" applyBorder="1" applyAlignment="1">
      <alignment vertical="center"/>
    </xf>
    <xf numFmtId="168" fontId="32" fillId="24" borderId="18" xfId="0" applyNumberFormat="1" applyFont="1" applyFill="1" applyBorder="1" applyAlignment="1">
      <alignment horizontal="center"/>
    </xf>
    <xf numFmtId="168" fontId="32" fillId="0" borderId="24" xfId="0" applyNumberFormat="1" applyFont="1" applyFill="1" applyBorder="1" applyAlignment="1">
      <alignment horizontal="center" vertical="center"/>
    </xf>
    <xf numFmtId="173" fontId="32" fillId="24" borderId="13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/>
    </xf>
    <xf numFmtId="0" fontId="32" fillId="0" borderId="18" xfId="0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168" fontId="32" fillId="24" borderId="22" xfId="0" applyNumberFormat="1" applyFont="1" applyFill="1" applyBorder="1" applyAlignment="1">
      <alignment horizontal="center" vertical="center"/>
    </xf>
    <xf numFmtId="168" fontId="32" fillId="0" borderId="44" xfId="0" applyNumberFormat="1" applyFont="1" applyFill="1" applyBorder="1" applyAlignment="1">
      <alignment horizontal="center" vertical="center"/>
    </xf>
    <xf numFmtId="168" fontId="32" fillId="24" borderId="43" xfId="0" applyNumberFormat="1" applyFont="1" applyFill="1" applyBorder="1" applyAlignment="1">
      <alignment horizontal="center" vertical="center"/>
    </xf>
    <xf numFmtId="168" fontId="32" fillId="7" borderId="17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30" fillId="3" borderId="21" xfId="0" applyFont="1" applyFill="1" applyBorder="1" applyAlignment="1">
      <alignment horizontal="center" wrapText="1"/>
    </xf>
    <xf numFmtId="0" fontId="30" fillId="3" borderId="22" xfId="0" applyFont="1" applyFill="1" applyBorder="1" applyAlignment="1">
      <alignment horizontal="center" vertical="top" wrapText="1"/>
    </xf>
    <xf numFmtId="168" fontId="30" fillId="3" borderId="17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wrapText="1"/>
    </xf>
    <xf numFmtId="168" fontId="30" fillId="3" borderId="2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1" fontId="38" fillId="0" borderId="13" xfId="0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/>
    </xf>
    <xf numFmtId="0" fontId="37" fillId="0" borderId="13" xfId="0" applyNumberFormat="1" applyFont="1" applyFill="1" applyBorder="1" applyAlignment="1">
      <alignment horizontal="center"/>
    </xf>
    <xf numFmtId="0" fontId="37" fillId="17" borderId="13" xfId="0" applyFont="1" applyFill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0" borderId="0" xfId="0" applyFont="1" applyAlignment="1">
      <alignment/>
    </xf>
    <xf numFmtId="0" fontId="38" fillId="24" borderId="0" xfId="0" applyFont="1" applyFill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wrapText="1"/>
    </xf>
    <xf numFmtId="0" fontId="38" fillId="0" borderId="54" xfId="0" applyFont="1" applyFill="1" applyBorder="1" applyAlignment="1">
      <alignment horizontal="left" wrapText="1"/>
    </xf>
    <xf numFmtId="168" fontId="38" fillId="0" borderId="55" xfId="0" applyNumberFormat="1" applyFont="1" applyFill="1" applyBorder="1" applyAlignment="1">
      <alignment horizontal="center" vertical="top" wrapText="1"/>
    </xf>
    <xf numFmtId="1" fontId="38" fillId="0" borderId="56" xfId="0" applyNumberFormat="1" applyFont="1" applyFill="1" applyBorder="1" applyAlignment="1">
      <alignment horizontal="center" vertical="top" wrapText="1"/>
    </xf>
    <xf numFmtId="168" fontId="38" fillId="0" borderId="57" xfId="0" applyNumberFormat="1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center" vertical="center"/>
    </xf>
    <xf numFmtId="168" fontId="38" fillId="24" borderId="55" xfId="0" applyNumberFormat="1" applyFont="1" applyFill="1" applyBorder="1" applyAlignment="1">
      <alignment horizontal="center" vertical="top" wrapText="1"/>
    </xf>
    <xf numFmtId="1" fontId="38" fillId="24" borderId="56" xfId="0" applyNumberFormat="1" applyFont="1" applyFill="1" applyBorder="1" applyAlignment="1">
      <alignment horizontal="center" vertical="top" wrapText="1"/>
    </xf>
    <xf numFmtId="168" fontId="38" fillId="24" borderId="57" xfId="0" applyNumberFormat="1" applyFont="1" applyFill="1" applyBorder="1" applyAlignment="1">
      <alignment horizontal="center"/>
    </xf>
    <xf numFmtId="168" fontId="38" fillId="24" borderId="13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 wrapText="1"/>
    </xf>
    <xf numFmtId="0" fontId="38" fillId="0" borderId="57" xfId="0" applyFont="1" applyFill="1" applyBorder="1" applyAlignment="1">
      <alignment horizontal="left" vertical="top" wrapText="1"/>
    </xf>
    <xf numFmtId="1" fontId="38" fillId="0" borderId="59" xfId="0" applyNumberFormat="1" applyFont="1" applyFill="1" applyBorder="1" applyAlignment="1">
      <alignment horizontal="center" vertical="top" wrapText="1"/>
    </xf>
    <xf numFmtId="1" fontId="38" fillId="24" borderId="59" xfId="0" applyNumberFormat="1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wrapText="1"/>
    </xf>
    <xf numFmtId="0" fontId="37" fillId="0" borderId="61" xfId="0" applyFont="1" applyFill="1" applyBorder="1" applyAlignment="1">
      <alignment/>
    </xf>
    <xf numFmtId="168" fontId="37" fillId="0" borderId="62" xfId="0" applyNumberFormat="1" applyFont="1" applyFill="1" applyBorder="1" applyAlignment="1">
      <alignment horizontal="center" vertical="center"/>
    </xf>
    <xf numFmtId="1" fontId="37" fillId="0" borderId="63" xfId="0" applyNumberFormat="1" applyFont="1" applyFill="1" applyBorder="1" applyAlignment="1">
      <alignment horizontal="center" vertical="center" wrapText="1"/>
    </xf>
    <xf numFmtId="168" fontId="37" fillId="0" borderId="61" xfId="0" applyNumberFormat="1" applyFont="1" applyFill="1" applyBorder="1" applyAlignment="1">
      <alignment horizontal="center" vertical="center"/>
    </xf>
    <xf numFmtId="168" fontId="37" fillId="0" borderId="0" xfId="0" applyNumberFormat="1" applyFont="1" applyFill="1" applyBorder="1" applyAlignment="1">
      <alignment horizontal="center" vertical="center"/>
    </xf>
    <xf numFmtId="168" fontId="37" fillId="24" borderId="62" xfId="0" applyNumberFormat="1" applyFont="1" applyFill="1" applyBorder="1" applyAlignment="1">
      <alignment horizontal="center"/>
    </xf>
    <xf numFmtId="1" fontId="37" fillId="24" borderId="63" xfId="0" applyNumberFormat="1" applyFont="1" applyFill="1" applyBorder="1" applyAlignment="1">
      <alignment horizontal="center" vertical="top" wrapText="1"/>
    </xf>
    <xf numFmtId="168" fontId="37" fillId="24" borderId="61" xfId="0" applyNumberFormat="1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 wrapText="1"/>
    </xf>
    <xf numFmtId="173" fontId="30" fillId="28" borderId="13" xfId="0" applyNumberFormat="1" applyFont="1" applyFill="1" applyBorder="1" applyAlignment="1">
      <alignment horizontal="center" vertical="center"/>
    </xf>
    <xf numFmtId="168" fontId="30" fillId="3" borderId="19" xfId="0" applyNumberFormat="1" applyFont="1" applyFill="1" applyBorder="1" applyAlignment="1">
      <alignment horizontal="center" vertical="center"/>
    </xf>
    <xf numFmtId="185" fontId="30" fillId="24" borderId="18" xfId="0" applyNumberFormat="1" applyFont="1" applyFill="1" applyBorder="1" applyAlignment="1">
      <alignment vertical="top" wrapText="1"/>
    </xf>
    <xf numFmtId="183" fontId="30" fillId="0" borderId="18" xfId="0" applyNumberFormat="1" applyFont="1" applyFill="1" applyBorder="1" applyAlignment="1">
      <alignment horizontal="center" wrapText="1"/>
    </xf>
    <xf numFmtId="168" fontId="30" fillId="0" borderId="18" xfId="0" applyNumberFormat="1" applyFont="1" applyFill="1" applyBorder="1" applyAlignment="1">
      <alignment horizontal="center"/>
    </xf>
    <xf numFmtId="168" fontId="30" fillId="24" borderId="38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168" fontId="30" fillId="0" borderId="17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24" borderId="46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1" fontId="30" fillId="24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2" fontId="30" fillId="24" borderId="38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 wrapText="1"/>
    </xf>
    <xf numFmtId="173" fontId="30" fillId="24" borderId="18" xfId="0" applyNumberFormat="1" applyFont="1" applyFill="1" applyBorder="1" applyAlignment="1">
      <alignment horizontal="center" vertical="center" wrapText="1"/>
    </xf>
    <xf numFmtId="168" fontId="24" fillId="0" borderId="18" xfId="0" applyNumberFormat="1" applyFont="1" applyFill="1" applyBorder="1" applyAlignment="1">
      <alignment horizontal="center" vertical="center"/>
    </xf>
    <xf numFmtId="168" fontId="30" fillId="0" borderId="20" xfId="0" applyNumberFormat="1" applyFont="1" applyFill="1" applyBorder="1" applyAlignment="1">
      <alignment horizontal="center" vertical="center"/>
    </xf>
    <xf numFmtId="173" fontId="30" fillId="24" borderId="18" xfId="0" applyNumberFormat="1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168" fontId="30" fillId="0" borderId="24" xfId="0" applyNumberFormat="1" applyFont="1" applyFill="1" applyBorder="1" applyAlignment="1">
      <alignment horizontal="center" vertical="center"/>
    </xf>
    <xf numFmtId="173" fontId="30" fillId="24" borderId="13" xfId="0" applyNumberFormat="1" applyFont="1" applyFill="1" applyBorder="1" applyAlignment="1">
      <alignment horizontal="center" vertical="center"/>
    </xf>
    <xf numFmtId="1" fontId="30" fillId="24" borderId="27" xfId="0" applyNumberFormat="1" applyFont="1" applyFill="1" applyBorder="1" applyAlignment="1">
      <alignment horizontal="center" vertical="center"/>
    </xf>
    <xf numFmtId="0" fontId="30" fillId="24" borderId="30" xfId="0" applyNumberFormat="1" applyFont="1" applyFill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168" fontId="30" fillId="24" borderId="30" xfId="0" applyNumberFormat="1" applyFont="1" applyFill="1" applyBorder="1" applyAlignment="1">
      <alignment horizontal="center" vertical="center"/>
    </xf>
    <xf numFmtId="2" fontId="30" fillId="24" borderId="47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/>
    </xf>
    <xf numFmtId="1" fontId="30" fillId="0" borderId="27" xfId="0" applyNumberFormat="1" applyFont="1" applyFill="1" applyBorder="1" applyAlignment="1">
      <alignment horizontal="center" vertical="center"/>
    </xf>
    <xf numFmtId="1" fontId="30" fillId="0" borderId="27" xfId="0" applyNumberFormat="1" applyFont="1" applyFill="1" applyBorder="1" applyAlignment="1">
      <alignment horizontal="center" vertical="center" wrapText="1"/>
    </xf>
    <xf numFmtId="168" fontId="30" fillId="0" borderId="30" xfId="0" applyNumberFormat="1" applyFont="1" applyFill="1" applyBorder="1" applyAlignment="1">
      <alignment horizontal="center" vertical="center"/>
    </xf>
    <xf numFmtId="168" fontId="30" fillId="0" borderId="29" xfId="0" applyNumberFormat="1" applyFont="1" applyFill="1" applyBorder="1" applyAlignment="1">
      <alignment horizontal="center" vertical="center"/>
    </xf>
    <xf numFmtId="173" fontId="30" fillId="24" borderId="27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32" xfId="0" applyFont="1" applyFill="1" applyBorder="1" applyAlignment="1">
      <alignment horizontal="center" wrapText="1"/>
    </xf>
    <xf numFmtId="183" fontId="24" fillId="0" borderId="33" xfId="0" applyNumberFormat="1" applyFont="1" applyFill="1" applyBorder="1" applyAlignment="1">
      <alignment horizontal="center" vertical="top" wrapText="1"/>
    </xf>
    <xf numFmtId="2" fontId="24" fillId="24" borderId="32" xfId="0" applyNumberFormat="1" applyFont="1" applyFill="1" applyBorder="1" applyAlignment="1">
      <alignment horizontal="center" vertical="top" wrapText="1"/>
    </xf>
    <xf numFmtId="168" fontId="24" fillId="24" borderId="48" xfId="0" applyNumberFormat="1" applyFont="1" applyFill="1" applyBorder="1" applyAlignment="1">
      <alignment horizontal="center"/>
    </xf>
    <xf numFmtId="168" fontId="24" fillId="0" borderId="48" xfId="0" applyNumberFormat="1" applyFont="1" applyFill="1" applyBorder="1" applyAlignment="1">
      <alignment horizontal="center"/>
    </xf>
    <xf numFmtId="168" fontId="24" fillId="24" borderId="49" xfId="0" applyNumberFormat="1" applyFont="1" applyFill="1" applyBorder="1" applyAlignment="1">
      <alignment horizontal="center"/>
    </xf>
    <xf numFmtId="168" fontId="24" fillId="0" borderId="51" xfId="0" applyNumberFormat="1" applyFont="1" applyFill="1" applyBorder="1" applyAlignment="1">
      <alignment horizontal="center"/>
    </xf>
    <xf numFmtId="168" fontId="24" fillId="0" borderId="32" xfId="0" applyNumberFormat="1" applyFont="1" applyFill="1" applyBorder="1" applyAlignment="1">
      <alignment horizontal="center" vertical="center"/>
    </xf>
    <xf numFmtId="168" fontId="24" fillId="24" borderId="51" xfId="0" applyNumberFormat="1" applyFont="1" applyFill="1" applyBorder="1" applyAlignment="1">
      <alignment horizontal="center"/>
    </xf>
    <xf numFmtId="168" fontId="24" fillId="0" borderId="33" xfId="0" applyNumberFormat="1" applyFont="1" applyFill="1" applyBorder="1" applyAlignment="1">
      <alignment horizontal="center"/>
    </xf>
    <xf numFmtId="168" fontId="30" fillId="26" borderId="0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26" fillId="24" borderId="66" xfId="0" applyFont="1" applyFill="1" applyBorder="1" applyAlignment="1">
      <alignment horizontal="center" vertical="center" wrapText="1"/>
    </xf>
    <xf numFmtId="0" fontId="26" fillId="24" borderId="67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24" borderId="68" xfId="0" applyFont="1" applyFill="1" applyBorder="1" applyAlignment="1">
      <alignment horizontal="center" vertical="center" wrapText="1"/>
    </xf>
    <xf numFmtId="168" fontId="30" fillId="26" borderId="17" xfId="0" applyNumberFormat="1" applyFont="1" applyFill="1" applyBorder="1" applyAlignment="1">
      <alignment horizontal="center" vertical="center"/>
    </xf>
    <xf numFmtId="0" fontId="30" fillId="26" borderId="17" xfId="0" applyFont="1" applyFill="1" applyBorder="1" applyAlignment="1">
      <alignment horizontal="center" wrapText="1"/>
    </xf>
    <xf numFmtId="169" fontId="30" fillId="0" borderId="18" xfId="0" applyNumberFormat="1" applyFont="1" applyFill="1" applyBorder="1" applyAlignment="1">
      <alignment horizontal="center" vertical="center"/>
    </xf>
    <xf numFmtId="169" fontId="24" fillId="0" borderId="35" xfId="0" applyNumberFormat="1" applyFont="1" applyFill="1" applyBorder="1" applyAlignment="1">
      <alignment horizontal="center" vertical="center"/>
    </xf>
    <xf numFmtId="169" fontId="30" fillId="26" borderId="18" xfId="0" applyNumberFormat="1" applyFont="1" applyFill="1" applyBorder="1" applyAlignment="1">
      <alignment horizontal="center" vertical="center"/>
    </xf>
    <xf numFmtId="168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68" fontId="30" fillId="23" borderId="18" xfId="0" applyNumberFormat="1" applyFont="1" applyFill="1" applyBorder="1" applyAlignment="1">
      <alignment horizontal="center" vertical="center"/>
    </xf>
    <xf numFmtId="168" fontId="30" fillId="23" borderId="13" xfId="0" applyNumberFormat="1" applyFont="1" applyFill="1" applyBorder="1" applyAlignment="1">
      <alignment horizontal="center" vertical="center"/>
    </xf>
    <xf numFmtId="168" fontId="30" fillId="23" borderId="27" xfId="0" applyNumberFormat="1" applyFont="1" applyFill="1" applyBorder="1" applyAlignment="1">
      <alignment horizontal="center" vertical="center"/>
    </xf>
    <xf numFmtId="173" fontId="24" fillId="23" borderId="35" xfId="0" applyNumberFormat="1" applyFont="1" applyFill="1" applyBorder="1" applyAlignment="1">
      <alignment/>
    </xf>
    <xf numFmtId="168" fontId="25" fillId="0" borderId="13" xfId="0" applyNumberFormat="1" applyFont="1" applyFill="1" applyBorder="1" applyAlignment="1">
      <alignment horizontal="center" vertical="center"/>
    </xf>
    <xf numFmtId="10" fontId="25" fillId="0" borderId="13" xfId="0" applyNumberFormat="1" applyFont="1" applyFill="1" applyBorder="1" applyAlignment="1">
      <alignment horizontal="center" vertical="center"/>
    </xf>
    <xf numFmtId="173" fontId="40" fillId="0" borderId="0" xfId="0" applyNumberFormat="1" applyFont="1" applyAlignment="1" applyProtection="1">
      <alignment horizontal="right"/>
      <protection locked="0"/>
    </xf>
    <xf numFmtId="173" fontId="40" fillId="0" borderId="0" xfId="0" applyNumberFormat="1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 locked="0"/>
    </xf>
    <xf numFmtId="173" fontId="42" fillId="0" borderId="0" xfId="0" applyNumberFormat="1" applyFont="1" applyAlignment="1" applyProtection="1">
      <alignment horizontal="right"/>
      <protection locked="0"/>
    </xf>
    <xf numFmtId="173" fontId="42" fillId="0" borderId="0" xfId="0" applyNumberFormat="1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173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173" fontId="23" fillId="28" borderId="69" xfId="0" applyNumberFormat="1" applyFont="1" applyFill="1" applyBorder="1" applyAlignment="1" applyProtection="1">
      <alignment/>
      <protection locked="0"/>
    </xf>
    <xf numFmtId="173" fontId="23" fillId="28" borderId="70" xfId="0" applyNumberFormat="1" applyFont="1" applyFill="1" applyBorder="1" applyAlignment="1" applyProtection="1">
      <alignment/>
      <protection locked="0"/>
    </xf>
    <xf numFmtId="173" fontId="23" fillId="28" borderId="70" xfId="0" applyNumberFormat="1" applyFont="1" applyFill="1" applyBorder="1" applyAlignment="1" applyProtection="1">
      <alignment horizontal="center"/>
      <protection locked="0"/>
    </xf>
    <xf numFmtId="173" fontId="23" fillId="28" borderId="71" xfId="0" applyNumberFormat="1" applyFont="1" applyFill="1" applyBorder="1" applyAlignment="1" applyProtection="1">
      <alignment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47" fillId="0" borderId="72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173" fontId="46" fillId="0" borderId="13" xfId="0" applyNumberFormat="1" applyFont="1" applyFill="1" applyBorder="1" applyAlignment="1" applyProtection="1">
      <alignment horizontal="center"/>
      <protection locked="0"/>
    </xf>
    <xf numFmtId="173" fontId="23" fillId="28" borderId="73" xfId="0" applyNumberFormat="1" applyFont="1" applyFill="1" applyBorder="1" applyAlignment="1" applyProtection="1">
      <alignment/>
      <protection locked="0"/>
    </xf>
    <xf numFmtId="173" fontId="23" fillId="28" borderId="43" xfId="0" applyNumberFormat="1" applyFont="1" applyFill="1" applyBorder="1" applyAlignment="1" applyProtection="1">
      <alignment/>
      <protection locked="0"/>
    </xf>
    <xf numFmtId="173" fontId="23" fillId="28" borderId="43" xfId="0" applyNumberFormat="1" applyFont="1" applyFill="1" applyBorder="1" applyAlignment="1" applyProtection="1">
      <alignment horizontal="center"/>
      <protection locked="0"/>
    </xf>
    <xf numFmtId="173" fontId="23" fillId="28" borderId="74" xfId="0" applyNumberFormat="1" applyFont="1" applyFill="1" applyBorder="1" applyAlignment="1" applyProtection="1">
      <alignment/>
      <protection locked="0"/>
    </xf>
    <xf numFmtId="173" fontId="23" fillId="28" borderId="24" xfId="0" applyNumberFormat="1" applyFont="1" applyFill="1" applyBorder="1" applyAlignment="1" applyProtection="1">
      <alignment horizontal="center" vertical="center" wrapText="1"/>
      <protection locked="0"/>
    </xf>
    <xf numFmtId="173" fontId="23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75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/>
      <protection locked="0"/>
    </xf>
    <xf numFmtId="173" fontId="4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 applyProtection="1">
      <alignment horizontal="center" vertical="center" wrapText="1"/>
      <protection locked="0"/>
    </xf>
    <xf numFmtId="0" fontId="47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173" fontId="43" fillId="0" borderId="44" xfId="0" applyNumberFormat="1" applyFont="1" applyFill="1" applyBorder="1" applyAlignment="1" applyProtection="1">
      <alignment horizontal="center" vertical="center" wrapText="1"/>
      <protection locked="0"/>
    </xf>
    <xf numFmtId="173" fontId="50" fillId="28" borderId="76" xfId="0" applyNumberFormat="1" applyFont="1" applyFill="1" applyBorder="1" applyAlignment="1" applyProtection="1">
      <alignment vertical="center" wrapText="1"/>
      <protection locked="0"/>
    </xf>
    <xf numFmtId="173" fontId="43" fillId="28" borderId="77" xfId="0" applyNumberFormat="1" applyFont="1" applyFill="1" applyBorder="1" applyAlignment="1" applyProtection="1">
      <alignment horizontal="center" vertical="center" wrapText="1"/>
      <protection locked="0"/>
    </xf>
    <xf numFmtId="173" fontId="43" fillId="28" borderId="68" xfId="0" applyNumberFormat="1" applyFont="1" applyFill="1" applyBorder="1" applyAlignment="1" applyProtection="1">
      <alignment horizontal="center" vertical="center" wrapText="1"/>
      <protection locked="0"/>
    </xf>
    <xf numFmtId="173" fontId="43" fillId="28" borderId="65" xfId="0" applyNumberFormat="1" applyFont="1" applyFill="1" applyBorder="1" applyAlignment="1" applyProtection="1">
      <alignment horizontal="center" vertical="center" wrapText="1"/>
      <protection locked="0"/>
    </xf>
    <xf numFmtId="173" fontId="43" fillId="28" borderId="46" xfId="0" applyNumberFormat="1" applyFont="1" applyFill="1" applyBorder="1" applyAlignment="1" applyProtection="1">
      <alignment horizontal="center" vertical="center" wrapText="1"/>
      <protection locked="0"/>
    </xf>
    <xf numFmtId="173" fontId="43" fillId="28" borderId="66" xfId="0" applyNumberFormat="1" applyFont="1" applyFill="1" applyBorder="1" applyAlignment="1" applyProtection="1">
      <alignment horizontal="center" vertical="center" wrapText="1"/>
      <protection locked="0"/>
    </xf>
    <xf numFmtId="173" fontId="45" fillId="28" borderId="18" xfId="0" applyNumberFormat="1" applyFont="1" applyFill="1" applyBorder="1" applyAlignment="1" applyProtection="1">
      <alignment horizontal="center" vertical="center" wrapText="1"/>
      <protection locked="0"/>
    </xf>
    <xf numFmtId="173" fontId="45" fillId="28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183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78" xfId="0" applyNumberFormat="1" applyFont="1" applyFill="1" applyBorder="1" applyAlignment="1" applyProtection="1">
      <alignment horizontal="center" vertical="center" wrapText="1"/>
      <protection locked="0"/>
    </xf>
    <xf numFmtId="183" fontId="23" fillId="28" borderId="22" xfId="0" applyNumberFormat="1" applyFont="1" applyFill="1" applyBorder="1" applyAlignment="1" applyProtection="1">
      <alignment horizontal="center" vertical="center" wrapText="1"/>
      <protection locked="0"/>
    </xf>
    <xf numFmtId="173" fontId="23" fillId="28" borderId="21" xfId="0" applyNumberFormat="1" applyFont="1" applyFill="1" applyBorder="1" applyAlignment="1" applyProtection="1">
      <alignment horizontal="center" vertical="center" wrapText="1"/>
      <protection locked="0"/>
    </xf>
    <xf numFmtId="183" fontId="23" fillId="28" borderId="13" xfId="0" applyNumberFormat="1" applyFont="1" applyFill="1" applyBorder="1" applyAlignment="1" applyProtection="1">
      <alignment horizontal="center" vertical="center" wrapText="1"/>
      <protection locked="0"/>
    </xf>
    <xf numFmtId="183" fontId="23" fillId="28" borderId="23" xfId="0" applyNumberFormat="1" applyFont="1" applyFill="1" applyBorder="1" applyAlignment="1" applyProtection="1">
      <alignment horizontal="center" vertical="center" wrapText="1"/>
      <protection locked="0"/>
    </xf>
    <xf numFmtId="173" fontId="45" fillId="28" borderId="44" xfId="0" applyNumberFormat="1" applyFont="1" applyFill="1" applyBorder="1" applyAlignment="1" applyProtection="1">
      <alignment horizontal="center" vertical="center" wrapText="1"/>
      <protection locked="0"/>
    </xf>
    <xf numFmtId="173" fontId="43" fillId="28" borderId="74" xfId="0" applyNumberFormat="1" applyFont="1" applyFill="1" applyBorder="1" applyAlignment="1" applyProtection="1">
      <alignment horizontal="center" vertical="center" wrapText="1"/>
      <protection locked="0"/>
    </xf>
    <xf numFmtId="173" fontId="43" fillId="28" borderId="44" xfId="0" applyNumberFormat="1" applyFont="1" applyFill="1" applyBorder="1" applyAlignment="1" applyProtection="1">
      <alignment horizontal="center" vertical="center" wrapText="1"/>
      <protection locked="0"/>
    </xf>
    <xf numFmtId="3" fontId="23" fillId="28" borderId="17" xfId="0" applyNumberFormat="1" applyFont="1" applyFill="1" applyBorder="1" applyAlignment="1" applyProtection="1">
      <alignment horizontal="center" vertical="center" wrapText="1"/>
      <protection locked="0"/>
    </xf>
    <xf numFmtId="3" fontId="23" fillId="28" borderId="18" xfId="0" applyNumberFormat="1" applyFont="1" applyFill="1" applyBorder="1" applyAlignment="1" applyProtection="1">
      <alignment horizontal="center" vertical="center" wrapText="1"/>
      <protection locked="0"/>
    </xf>
    <xf numFmtId="3" fontId="51" fillId="28" borderId="19" xfId="0" applyNumberFormat="1" applyFont="1" applyFill="1" applyBorder="1" applyAlignment="1" applyProtection="1">
      <alignment horizontal="center" vertical="center" wrapText="1"/>
      <protection locked="0"/>
    </xf>
    <xf numFmtId="3" fontId="46" fillId="28" borderId="13" xfId="0" applyNumberFormat="1" applyFont="1" applyFill="1" applyBorder="1" applyAlignment="1" applyProtection="1">
      <alignment horizontal="center" vertical="center" wrapText="1"/>
      <protection locked="0"/>
    </xf>
    <xf numFmtId="2" fontId="46" fillId="28" borderId="79" xfId="0" applyNumberFormat="1" applyFont="1" applyFill="1" applyBorder="1" applyAlignment="1" applyProtection="1">
      <alignment horizontal="center" vertical="center" wrapText="1"/>
      <protection locked="0"/>
    </xf>
    <xf numFmtId="173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41" fillId="26" borderId="21" xfId="0" applyNumberFormat="1" applyFont="1" applyFill="1" applyBorder="1" applyAlignment="1" applyProtection="1">
      <alignment horizontal="center" vertical="center"/>
      <protection locked="0"/>
    </xf>
    <xf numFmtId="183" fontId="23" fillId="26" borderId="13" xfId="0" applyNumberFormat="1" applyFont="1" applyFill="1" applyBorder="1" applyAlignment="1" applyProtection="1">
      <alignment horizontal="center" vertical="center" wrapText="1"/>
      <protection locked="0"/>
    </xf>
    <xf numFmtId="173" fontId="23" fillId="26" borderId="78" xfId="0" applyNumberFormat="1" applyFont="1" applyFill="1" applyBorder="1" applyAlignment="1" applyProtection="1">
      <alignment horizontal="right" vertical="center"/>
      <protection locked="0"/>
    </xf>
    <xf numFmtId="49" fontId="23" fillId="26" borderId="13" xfId="0" applyNumberFormat="1" applyFont="1" applyFill="1" applyBorder="1" applyAlignment="1" applyProtection="1">
      <alignment horizontal="center" vertical="center" wrapText="1"/>
      <protection locked="0"/>
    </xf>
    <xf numFmtId="183" fontId="23" fillId="26" borderId="22" xfId="0" applyNumberFormat="1" applyFont="1" applyFill="1" applyBorder="1" applyAlignment="1" applyProtection="1">
      <alignment horizontal="center" vertical="center" wrapText="1"/>
      <protection locked="0"/>
    </xf>
    <xf numFmtId="49" fontId="51" fillId="26" borderId="21" xfId="0" applyNumberFormat="1" applyFont="1" applyFill="1" applyBorder="1" applyAlignment="1" applyProtection="1">
      <alignment horizontal="center" vertical="center" wrapText="1"/>
      <protection locked="0"/>
    </xf>
    <xf numFmtId="183" fontId="23" fillId="26" borderId="23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26" borderId="24" xfId="0" applyNumberFormat="1" applyFont="1" applyFill="1" applyBorder="1" applyAlignment="1" applyProtection="1">
      <alignment horizontal="center" vertical="center" wrapText="1"/>
      <protection locked="0"/>
    </xf>
    <xf numFmtId="49" fontId="23" fillId="26" borderId="78" xfId="0" applyNumberFormat="1" applyFont="1" applyFill="1" applyBorder="1" applyAlignment="1" applyProtection="1">
      <alignment horizontal="center" vertical="center" wrapText="1"/>
      <protection locked="0"/>
    </xf>
    <xf numFmtId="49" fontId="46" fillId="23" borderId="78" xfId="0" applyNumberFormat="1" applyFont="1" applyFill="1" applyBorder="1" applyAlignment="1" applyProtection="1">
      <alignment horizontal="center" vertical="center" wrapText="1"/>
      <protection locked="0"/>
    </xf>
    <xf numFmtId="49" fontId="23" fillId="26" borderId="80" xfId="0" applyNumberFormat="1" applyFont="1" applyFill="1" applyBorder="1" applyAlignment="1" applyProtection="1">
      <alignment horizontal="center" vertical="center" wrapText="1"/>
      <protection locked="0"/>
    </xf>
    <xf numFmtId="49" fontId="23" fillId="26" borderId="21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23" xfId="0" applyNumberFormat="1" applyFont="1" applyFill="1" applyBorder="1" applyAlignment="1" applyProtection="1">
      <alignment horizontal="center" vertical="center" wrapText="1"/>
      <protection locked="0"/>
    </xf>
    <xf numFmtId="49" fontId="46" fillId="26" borderId="24" xfId="0" applyNumberFormat="1" applyFont="1" applyFill="1" applyBorder="1" applyAlignment="1" applyProtection="1">
      <alignment horizontal="center" vertical="center" wrapText="1"/>
      <protection locked="0"/>
    </xf>
    <xf numFmtId="49" fontId="46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3" fillId="23" borderId="21" xfId="0" applyNumberFormat="1" applyFont="1" applyFill="1" applyBorder="1" applyAlignment="1" applyProtection="1">
      <alignment horizontal="center"/>
      <protection locked="0"/>
    </xf>
    <xf numFmtId="49" fontId="23" fillId="23" borderId="13" xfId="0" applyNumberFormat="1" applyFont="1" applyFill="1" applyBorder="1" applyAlignment="1" applyProtection="1">
      <alignment horizontal="center"/>
      <protection locked="0"/>
    </xf>
    <xf numFmtId="49" fontId="23" fillId="23" borderId="23" xfId="0" applyNumberFormat="1" applyFont="1" applyFill="1" applyBorder="1" applyAlignment="1" applyProtection="1">
      <alignment horizontal="center"/>
      <protection locked="0"/>
    </xf>
    <xf numFmtId="49" fontId="46" fillId="0" borderId="79" xfId="0" applyNumberFormat="1" applyFont="1" applyFill="1" applyBorder="1" applyAlignment="1" applyProtection="1">
      <alignment horizontal="center"/>
      <protection locked="0"/>
    </xf>
    <xf numFmtId="49" fontId="23" fillId="0" borderId="21" xfId="0" applyNumberFormat="1" applyFont="1" applyFill="1" applyBorder="1" applyAlignment="1" applyProtection="1">
      <alignment horizontal="center"/>
      <protection locked="0"/>
    </xf>
    <xf numFmtId="49" fontId="23" fillId="0" borderId="23" xfId="0" applyNumberFormat="1" applyFont="1" applyFill="1" applyBorder="1" applyAlignment="1" applyProtection="1">
      <alignment horizontal="center"/>
      <protection locked="0"/>
    </xf>
    <xf numFmtId="49" fontId="46" fillId="0" borderId="24" xfId="0" applyNumberFormat="1" applyFont="1" applyFill="1" applyBorder="1" applyAlignment="1" applyProtection="1">
      <alignment horizontal="center"/>
      <protection locked="0"/>
    </xf>
    <xf numFmtId="49" fontId="46" fillId="0" borderId="80" xfId="0" applyNumberFormat="1" applyFont="1" applyFill="1" applyBorder="1" applyAlignment="1" applyProtection="1">
      <alignment horizontal="center"/>
      <protection locked="0"/>
    </xf>
    <xf numFmtId="49" fontId="23" fillId="24" borderId="13" xfId="0" applyNumberFormat="1" applyFont="1" applyFill="1" applyBorder="1" applyAlignment="1" applyProtection="1">
      <alignment horizontal="center" wrapText="1"/>
      <protection locked="0"/>
    </xf>
    <xf numFmtId="49" fontId="0" fillId="26" borderId="0" xfId="0" applyNumberFormat="1" applyFill="1" applyAlignment="1" applyProtection="1">
      <alignment horizontal="center"/>
      <protection locked="0"/>
    </xf>
    <xf numFmtId="0" fontId="43" fillId="23" borderId="21" xfId="0" applyFont="1" applyFill="1" applyBorder="1" applyAlignment="1" applyProtection="1">
      <alignment horizontal="left" vertical="center" wrapText="1"/>
      <protection locked="0"/>
    </xf>
    <xf numFmtId="183" fontId="23" fillId="23" borderId="13" xfId="0" applyNumberFormat="1" applyFont="1" applyFill="1" applyBorder="1" applyAlignment="1" applyProtection="1">
      <alignment horizontal="right" vertical="center"/>
      <protection locked="0"/>
    </xf>
    <xf numFmtId="183" fontId="23" fillId="26" borderId="13" xfId="0" applyNumberFormat="1" applyFont="1" applyFill="1" applyBorder="1" applyAlignment="1" applyProtection="1">
      <alignment horizontal="right" vertical="center"/>
      <protection locked="0"/>
    </xf>
    <xf numFmtId="2" fontId="23" fillId="23" borderId="13" xfId="69" applyNumberFormat="1" applyFont="1" applyFill="1" applyBorder="1" applyAlignment="1">
      <alignment horizontal="center" vertical="center"/>
      <protection/>
    </xf>
    <xf numFmtId="4" fontId="23" fillId="23" borderId="13" xfId="0" applyNumberFormat="1" applyFont="1" applyFill="1" applyBorder="1" applyAlignment="1">
      <alignment horizontal="center" vertical="center"/>
    </xf>
    <xf numFmtId="183" fontId="23" fillId="26" borderId="22" xfId="0" applyNumberFormat="1" applyFont="1" applyFill="1" applyBorder="1" applyAlignment="1" applyProtection="1">
      <alignment horizontal="right" vertical="center"/>
      <protection locked="0"/>
    </xf>
    <xf numFmtId="172" fontId="23" fillId="23" borderId="21" xfId="0" applyNumberFormat="1" applyFont="1" applyFill="1" applyBorder="1" applyAlignment="1" applyProtection="1">
      <alignment horizontal="center" vertical="center"/>
      <protection locked="0"/>
    </xf>
    <xf numFmtId="172" fontId="23" fillId="23" borderId="13" xfId="0" applyNumberFormat="1" applyFont="1" applyFill="1" applyBorder="1" applyAlignment="1" applyProtection="1">
      <alignment horizontal="center" vertical="center"/>
      <protection locked="0"/>
    </xf>
    <xf numFmtId="183" fontId="23" fillId="23" borderId="23" xfId="0" applyNumberFormat="1" applyFont="1" applyFill="1" applyBorder="1" applyAlignment="1" applyProtection="1">
      <alignment horizontal="right" vertical="center"/>
      <protection locked="0"/>
    </xf>
    <xf numFmtId="4" fontId="23" fillId="23" borderId="24" xfId="0" applyNumberFormat="1" applyFont="1" applyFill="1" applyBorder="1" applyAlignment="1" applyProtection="1">
      <alignment horizontal="right" vertical="center" wrapText="1"/>
      <protection/>
    </xf>
    <xf numFmtId="4" fontId="23" fillId="23" borderId="13" xfId="0" applyNumberFormat="1" applyFont="1" applyFill="1" applyBorder="1" applyAlignment="1" applyProtection="1">
      <alignment horizontal="right" vertical="center" wrapText="1"/>
      <protection/>
    </xf>
    <xf numFmtId="173" fontId="23" fillId="23" borderId="78" xfId="0" applyNumberFormat="1" applyFont="1" applyFill="1" applyBorder="1" applyAlignment="1" applyProtection="1">
      <alignment horizontal="right" vertical="center"/>
      <protection locked="0"/>
    </xf>
    <xf numFmtId="173" fontId="46" fillId="23" borderId="78" xfId="0" applyNumberFormat="1" applyFont="1" applyFill="1" applyBorder="1" applyAlignment="1" applyProtection="1">
      <alignment horizontal="right" vertical="center"/>
      <protection locked="0"/>
    </xf>
    <xf numFmtId="173" fontId="23" fillId="23" borderId="80" xfId="0" applyNumberFormat="1" applyFont="1" applyFill="1" applyBorder="1" applyAlignment="1" applyProtection="1">
      <alignment horizontal="right" vertical="center"/>
      <protection locked="0"/>
    </xf>
    <xf numFmtId="173" fontId="23" fillId="23" borderId="21" xfId="0" applyNumberFormat="1" applyFont="1" applyFill="1" applyBorder="1" applyAlignment="1" applyProtection="1">
      <alignment horizontal="right" vertical="center"/>
      <protection locked="0"/>
    </xf>
    <xf numFmtId="173" fontId="23" fillId="23" borderId="13" xfId="0" applyNumberFormat="1" applyFont="1" applyFill="1" applyBorder="1" applyAlignment="1" applyProtection="1">
      <alignment horizontal="right" vertical="center"/>
      <protection locked="0"/>
    </xf>
    <xf numFmtId="173" fontId="23" fillId="23" borderId="13" xfId="0" applyNumberFormat="1" applyFont="1" applyFill="1" applyBorder="1" applyAlignment="1" applyProtection="1">
      <alignment horizontal="center" vertical="center"/>
      <protection locked="0"/>
    </xf>
    <xf numFmtId="173" fontId="23" fillId="23" borderId="23" xfId="0" applyNumberFormat="1" applyFont="1" applyFill="1" applyBorder="1" applyAlignment="1" applyProtection="1">
      <alignment horizontal="center" vertical="center"/>
      <protection locked="0"/>
    </xf>
    <xf numFmtId="173" fontId="46" fillId="24" borderId="24" xfId="0" applyNumberFormat="1" applyFont="1" applyFill="1" applyBorder="1" applyAlignment="1" applyProtection="1">
      <alignment horizontal="right" vertical="center"/>
      <protection locked="0"/>
    </xf>
    <xf numFmtId="173" fontId="46" fillId="24" borderId="13" xfId="0" applyNumberFormat="1" applyFont="1" applyFill="1" applyBorder="1" applyAlignment="1" applyProtection="1">
      <alignment horizontal="right" vertical="center"/>
      <protection locked="0"/>
    </xf>
    <xf numFmtId="0" fontId="0" fillId="23" borderId="17" xfId="0" applyFill="1" applyBorder="1" applyAlignment="1" applyProtection="1">
      <alignment horizontal="center" vertical="center"/>
      <protection locked="0"/>
    </xf>
    <xf numFmtId="0" fontId="0" fillId="23" borderId="18" xfId="0" applyFill="1" applyBorder="1" applyAlignment="1" applyProtection="1">
      <alignment horizontal="center" vertical="center"/>
      <protection locked="0"/>
    </xf>
    <xf numFmtId="0" fontId="0" fillId="23" borderId="19" xfId="0" applyFill="1" applyBorder="1" applyAlignment="1" applyProtection="1">
      <alignment horizontal="center" vertical="center"/>
      <protection locked="0"/>
    </xf>
    <xf numFmtId="0" fontId="52" fillId="0" borderId="43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52" fillId="0" borderId="20" xfId="0" applyFont="1" applyFill="1" applyBorder="1" applyAlignment="1" applyProtection="1">
      <alignment horizontal="center" vertical="center"/>
      <protection locked="0"/>
    </xf>
    <xf numFmtId="0" fontId="52" fillId="0" borderId="74" xfId="0" applyFont="1" applyFill="1" applyBorder="1" applyAlignment="1" applyProtection="1">
      <alignment horizontal="center" vertical="center"/>
      <protection locked="0"/>
    </xf>
    <xf numFmtId="0" fontId="0" fillId="22" borderId="18" xfId="0" applyFill="1" applyBorder="1" applyAlignment="1" applyProtection="1">
      <alignment horizontal="center" vertical="center"/>
      <protection locked="0"/>
    </xf>
    <xf numFmtId="0" fontId="52" fillId="22" borderId="43" xfId="0" applyFont="1" applyFill="1" applyBorder="1" applyAlignment="1" applyProtection="1">
      <alignment horizontal="center" vertical="center"/>
      <protection locked="0"/>
    </xf>
    <xf numFmtId="0" fontId="0" fillId="22" borderId="20" xfId="0" applyFill="1" applyBorder="1" applyAlignment="1" applyProtection="1">
      <alignment horizontal="center" vertical="center"/>
      <protection locked="0"/>
    </xf>
    <xf numFmtId="0" fontId="0" fillId="26" borderId="20" xfId="0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 locked="0"/>
    </xf>
    <xf numFmtId="0" fontId="0" fillId="26" borderId="0" xfId="0" applyFill="1" applyAlignment="1" applyProtection="1">
      <alignment horizontal="center" vertical="center"/>
      <protection locked="0"/>
    </xf>
    <xf numFmtId="0" fontId="43" fillId="0" borderId="21" xfId="0" applyFont="1" applyFill="1" applyBorder="1" applyAlignment="1" applyProtection="1">
      <alignment horizontal="left" vertical="center" wrapText="1"/>
      <protection locked="0"/>
    </xf>
    <xf numFmtId="2" fontId="23" fillId="0" borderId="13" xfId="0" applyNumberFormat="1" applyFont="1" applyFill="1" applyBorder="1" applyAlignment="1" applyProtection="1">
      <alignment horizontal="right" vertical="center"/>
      <protection locked="0"/>
    </xf>
    <xf numFmtId="2" fontId="23" fillId="26" borderId="13" xfId="0" applyNumberFormat="1" applyFont="1" applyFill="1" applyBorder="1" applyAlignment="1" applyProtection="1">
      <alignment horizontal="right" vertical="center"/>
      <protection locked="0"/>
    </xf>
    <xf numFmtId="1" fontId="23" fillId="26" borderId="13" xfId="0" applyNumberFormat="1" applyFont="1" applyFill="1" applyBorder="1" applyAlignment="1" applyProtection="1">
      <alignment horizontal="right" vertical="center"/>
      <protection locked="0"/>
    </xf>
    <xf numFmtId="168" fontId="23" fillId="0" borderId="13" xfId="0" applyNumberFormat="1" applyFont="1" applyFill="1" applyBorder="1" applyAlignment="1" applyProtection="1">
      <alignment horizontal="right" vertical="center"/>
      <protection locked="0"/>
    </xf>
    <xf numFmtId="4" fontId="14" fillId="23" borderId="13" xfId="68" applyNumberFormat="1" applyFont="1" applyFill="1" applyBorder="1" applyAlignment="1">
      <alignment horizontal="center"/>
      <protection/>
    </xf>
    <xf numFmtId="4" fontId="23" fillId="23" borderId="13" xfId="69" applyNumberFormat="1" applyFont="1" applyFill="1" applyBorder="1" applyAlignment="1">
      <alignment horizontal="center"/>
      <protection/>
    </xf>
    <xf numFmtId="4" fontId="23" fillId="23" borderId="21" xfId="69" applyNumberFormat="1" applyFont="1" applyFill="1" applyBorder="1" applyAlignment="1">
      <alignment horizontal="center"/>
      <protection/>
    </xf>
    <xf numFmtId="173" fontId="14" fillId="23" borderId="13" xfId="68" applyNumberFormat="1" applyFont="1" applyFill="1" applyBorder="1" applyAlignment="1">
      <alignment horizontal="center"/>
      <protection/>
    </xf>
    <xf numFmtId="2" fontId="23" fillId="23" borderId="13" xfId="69" applyNumberFormat="1" applyFont="1" applyFill="1" applyBorder="1" applyAlignment="1">
      <alignment horizontal="center"/>
      <protection/>
    </xf>
    <xf numFmtId="183" fontId="23" fillId="0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69" applyNumberFormat="1" applyFont="1" applyBorder="1" applyAlignment="1">
      <alignment horizontal="center"/>
      <protection/>
    </xf>
    <xf numFmtId="183" fontId="23" fillId="0" borderId="23" xfId="0" applyNumberFormat="1" applyFont="1" applyFill="1" applyBorder="1" applyAlignment="1" applyProtection="1">
      <alignment horizontal="right" vertical="center"/>
      <protection locked="0"/>
    </xf>
    <xf numFmtId="4" fontId="23" fillId="0" borderId="24" xfId="0" applyNumberFormat="1" applyFont="1" applyFill="1" applyBorder="1" applyAlignment="1" applyProtection="1">
      <alignment horizontal="right" vertical="center" wrapText="1"/>
      <protection/>
    </xf>
    <xf numFmtId="4" fontId="23" fillId="0" borderId="13" xfId="0" applyNumberFormat="1" applyFont="1" applyFill="1" applyBorder="1" applyAlignment="1" applyProtection="1">
      <alignment horizontal="right" vertical="center" wrapText="1"/>
      <protection/>
    </xf>
    <xf numFmtId="4" fontId="29" fillId="23" borderId="13" xfId="68" applyNumberFormat="1" applyFont="1" applyFill="1" applyBorder="1" applyAlignment="1">
      <alignment horizontal="center"/>
      <protection/>
    </xf>
    <xf numFmtId="173" fontId="23" fillId="0" borderId="80" xfId="0" applyNumberFormat="1" applyFont="1" applyFill="1" applyBorder="1" applyAlignment="1" applyProtection="1">
      <alignment horizontal="right" vertical="center"/>
      <protection locked="0"/>
    </xf>
    <xf numFmtId="173" fontId="23" fillId="0" borderId="78" xfId="0" applyNumberFormat="1" applyFont="1" applyFill="1" applyBorder="1" applyAlignment="1" applyProtection="1">
      <alignment horizontal="right" vertical="center"/>
      <protection locked="0"/>
    </xf>
    <xf numFmtId="4" fontId="23" fillId="0" borderId="21" xfId="0" applyNumberFormat="1" applyFont="1" applyFill="1" applyBorder="1" applyAlignment="1" applyProtection="1">
      <alignment horizontal="right" vertical="center"/>
      <protection locked="0"/>
    </xf>
    <xf numFmtId="2" fontId="14" fillId="23" borderId="13" xfId="68" applyNumberFormat="1" applyFont="1" applyFill="1" applyBorder="1" applyAlignment="1">
      <alignment horizontal="center"/>
      <protection/>
    </xf>
    <xf numFmtId="2" fontId="14" fillId="23" borderId="13" xfId="68" applyNumberFormat="1" applyFill="1" applyBorder="1" applyAlignment="1">
      <alignment horizontal="center"/>
      <protection/>
    </xf>
    <xf numFmtId="168" fontId="46" fillId="0" borderId="79" xfId="0" applyNumberFormat="1" applyFont="1" applyFill="1" applyBorder="1" applyAlignment="1" applyProtection="1">
      <alignment horizontal="right" vertical="center"/>
      <protection locked="0"/>
    </xf>
    <xf numFmtId="2" fontId="53" fillId="0" borderId="21" xfId="68" applyNumberFormat="1" applyFont="1" applyFill="1" applyBorder="1">
      <alignment/>
      <protection/>
    </xf>
    <xf numFmtId="2" fontId="14" fillId="0" borderId="13" xfId="68" applyNumberFormat="1" applyFill="1" applyBorder="1">
      <alignment/>
      <protection/>
    </xf>
    <xf numFmtId="168" fontId="46" fillId="0" borderId="24" xfId="0" applyNumberFormat="1" applyFont="1" applyFill="1" applyBorder="1" applyAlignment="1" applyProtection="1">
      <alignment horizontal="right" vertical="center"/>
      <protection locked="0"/>
    </xf>
    <xf numFmtId="168" fontId="46" fillId="0" borderId="80" xfId="0" applyNumberFormat="1" applyFont="1" applyFill="1" applyBorder="1" applyAlignment="1" applyProtection="1">
      <alignment horizontal="right" vertical="center"/>
      <protection locked="0"/>
    </xf>
    <xf numFmtId="0" fontId="23" fillId="22" borderId="13" xfId="0" applyFont="1" applyFill="1" applyBorder="1" applyAlignment="1" applyProtection="1">
      <alignment horizontal="right" vertical="center"/>
      <protection locked="0"/>
    </xf>
    <xf numFmtId="168" fontId="46" fillId="22" borderId="79" xfId="0" applyNumberFormat="1" applyFont="1" applyFill="1" applyBorder="1" applyAlignment="1" applyProtection="1">
      <alignment horizontal="right" vertical="center"/>
      <protection locked="0"/>
    </xf>
    <xf numFmtId="168" fontId="23" fillId="22" borderId="24" xfId="0" applyNumberFormat="1" applyFont="1" applyFill="1" applyBorder="1" applyAlignment="1" applyProtection="1">
      <alignment horizontal="right" vertical="center"/>
      <protection locked="0"/>
    </xf>
    <xf numFmtId="168" fontId="23" fillId="0" borderId="24" xfId="0" applyNumberFormat="1" applyFont="1" applyBorder="1" applyAlignment="1" applyProtection="1">
      <alignment horizontal="right" vertical="center"/>
      <protection locked="0"/>
    </xf>
    <xf numFmtId="0" fontId="23" fillId="24" borderId="13" xfId="0" applyFont="1" applyFill="1" applyBorder="1" applyAlignment="1" applyProtection="1">
      <alignment horizontal="right" vertical="center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24" borderId="13" xfId="0" applyFont="1" applyFill="1" applyBorder="1" applyAlignment="1" applyProtection="1">
      <alignment horizontal="center" vertical="center"/>
      <protection locked="0"/>
    </xf>
    <xf numFmtId="14" fontId="23" fillId="24" borderId="13" xfId="0" applyNumberFormat="1" applyFont="1" applyFill="1" applyBorder="1" applyAlignment="1" applyProtection="1">
      <alignment horizontal="center" vertical="center"/>
      <protection locked="0"/>
    </xf>
    <xf numFmtId="2" fontId="53" fillId="0" borderId="13" xfId="68" applyNumberFormat="1" applyFont="1" applyFill="1" applyBorder="1">
      <alignment/>
      <protection/>
    </xf>
    <xf numFmtId="0" fontId="47" fillId="24" borderId="13" xfId="0" applyFont="1" applyFill="1" applyBorder="1" applyAlignment="1" applyProtection="1">
      <alignment horizontal="center" vertical="center" wrapText="1"/>
      <protection locked="0"/>
    </xf>
    <xf numFmtId="168" fontId="23" fillId="23" borderId="13" xfId="69" applyNumberFormat="1" applyFont="1" applyFill="1" applyBorder="1" applyAlignment="1">
      <alignment horizontal="center"/>
      <protection/>
    </xf>
    <xf numFmtId="4" fontId="23" fillId="23" borderId="79" xfId="0" applyNumberFormat="1" applyFont="1" applyFill="1" applyBorder="1" applyAlignment="1" applyProtection="1">
      <alignment horizontal="center" vertical="center"/>
      <protection locked="0"/>
    </xf>
    <xf numFmtId="2" fontId="23" fillId="23" borderId="13" xfId="0" applyNumberFormat="1" applyFont="1" applyFill="1" applyBorder="1" applyAlignment="1" applyProtection="1">
      <alignment horizontal="center" vertical="center"/>
      <protection locked="0"/>
    </xf>
    <xf numFmtId="0" fontId="23" fillId="22" borderId="13" xfId="0" applyFont="1" applyFill="1" applyBorder="1" applyAlignment="1" applyProtection="1">
      <alignment horizontal="right"/>
      <protection locked="0"/>
    </xf>
    <xf numFmtId="0" fontId="23" fillId="24" borderId="13" xfId="0" applyFont="1" applyFill="1" applyBorder="1" applyAlignment="1" applyProtection="1">
      <alignment horizontal="right"/>
      <protection locked="0"/>
    </xf>
    <xf numFmtId="0" fontId="0" fillId="24" borderId="13" xfId="0" applyFill="1" applyBorder="1" applyAlignment="1" applyProtection="1">
      <alignment horizontal="center"/>
      <protection locked="0"/>
    </xf>
    <xf numFmtId="0" fontId="23" fillId="24" borderId="1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7" fillId="24" borderId="13" xfId="0" applyFont="1" applyFill="1" applyBorder="1" applyAlignment="1" applyProtection="1">
      <alignment horizontal="center"/>
      <protection locked="0"/>
    </xf>
    <xf numFmtId="4" fontId="29" fillId="23" borderId="13" xfId="0" applyNumberFormat="1" applyFont="1" applyFill="1" applyBorder="1" applyAlignment="1" applyProtection="1">
      <alignment horizontal="center"/>
      <protection locked="0"/>
    </xf>
    <xf numFmtId="4" fontId="29" fillId="23" borderId="24" xfId="0" applyNumberFormat="1" applyFont="1" applyFill="1" applyBorder="1" applyAlignment="1" applyProtection="1">
      <alignment horizontal="center"/>
      <protection locked="0"/>
    </xf>
    <xf numFmtId="4" fontId="29" fillId="23" borderId="43" xfId="0" applyNumberFormat="1" applyFont="1" applyFill="1" applyBorder="1" applyAlignment="1" applyProtection="1">
      <alignment horizontal="center"/>
      <protection locked="0"/>
    </xf>
    <xf numFmtId="0" fontId="54" fillId="22" borderId="21" xfId="0" applyFont="1" applyFill="1" applyBorder="1" applyAlignment="1" applyProtection="1">
      <alignment horizontal="left" vertical="center" wrapText="1"/>
      <protection locked="0"/>
    </xf>
    <xf numFmtId="2" fontId="26" fillId="0" borderId="13" xfId="0" applyNumberFormat="1" applyFont="1" applyFill="1" applyBorder="1" applyAlignment="1" applyProtection="1">
      <alignment horizontal="right" vertical="center"/>
      <protection locked="0"/>
    </xf>
    <xf numFmtId="2" fontId="26" fillId="26" borderId="13" xfId="0" applyNumberFormat="1" applyFont="1" applyFill="1" applyBorder="1" applyAlignment="1" applyProtection="1">
      <alignment horizontal="right" vertical="center"/>
      <protection locked="0"/>
    </xf>
    <xf numFmtId="173" fontId="44" fillId="26" borderId="13" xfId="0" applyNumberFormat="1" applyFont="1" applyFill="1" applyBorder="1" applyAlignment="1" applyProtection="1">
      <alignment horizontal="right" vertical="center" wrapText="1"/>
      <protection locked="0"/>
    </xf>
    <xf numFmtId="173" fontId="44" fillId="22" borderId="13" xfId="0" applyNumberFormat="1" applyFont="1" applyFill="1" applyBorder="1" applyAlignment="1" applyProtection="1">
      <alignment horizontal="right" vertical="center" wrapText="1"/>
      <protection locked="0"/>
    </xf>
    <xf numFmtId="4" fontId="44" fillId="23" borderId="13" xfId="0" applyNumberFormat="1" applyFont="1" applyFill="1" applyBorder="1" applyAlignment="1" applyProtection="1">
      <alignment horizontal="center" vertical="center" wrapText="1"/>
      <protection locked="0"/>
    </xf>
    <xf numFmtId="183" fontId="26" fillId="26" borderId="22" xfId="0" applyNumberFormat="1" applyFont="1" applyFill="1" applyBorder="1" applyAlignment="1" applyProtection="1">
      <alignment horizontal="right" vertical="center"/>
      <protection locked="0"/>
    </xf>
    <xf numFmtId="4" fontId="44" fillId="23" borderId="81" xfId="0" applyNumberFormat="1" applyFont="1" applyFill="1" applyBorder="1" applyAlignment="1" applyProtection="1">
      <alignment horizontal="center" vertical="center" wrapText="1"/>
      <protection locked="0"/>
    </xf>
    <xf numFmtId="4" fontId="44" fillId="23" borderId="15" xfId="0" applyNumberFormat="1" applyFont="1" applyFill="1" applyBorder="1" applyAlignment="1" applyProtection="1">
      <alignment horizontal="center" wrapText="1"/>
      <protection locked="0"/>
    </xf>
    <xf numFmtId="2" fontId="26" fillId="22" borderId="13" xfId="0" applyNumberFormat="1" applyFont="1" applyFill="1" applyBorder="1" applyAlignment="1" applyProtection="1">
      <alignment horizontal="right" vertical="center"/>
      <protection locked="0"/>
    </xf>
    <xf numFmtId="4" fontId="44" fillId="23" borderId="15" xfId="0" applyNumberFormat="1" applyFont="1" applyFill="1" applyBorder="1" applyAlignment="1" applyProtection="1">
      <alignment horizontal="center" vertical="center" wrapText="1"/>
      <protection locked="0"/>
    </xf>
    <xf numFmtId="183" fontId="26" fillId="22" borderId="15" xfId="0" applyNumberFormat="1" applyFont="1" applyFill="1" applyBorder="1" applyAlignment="1" applyProtection="1">
      <alignment horizontal="right" vertical="center"/>
      <protection locked="0"/>
    </xf>
    <xf numFmtId="4" fontId="44" fillId="22" borderId="15" xfId="0" applyNumberFormat="1" applyFont="1" applyFill="1" applyBorder="1" applyAlignment="1" applyProtection="1">
      <alignment horizontal="center" vertical="center" wrapText="1"/>
      <protection locked="0"/>
    </xf>
    <xf numFmtId="2" fontId="44" fillId="23" borderId="15" xfId="0" applyNumberFormat="1" applyFont="1" applyFill="1" applyBorder="1" applyAlignment="1" applyProtection="1">
      <alignment horizontal="center" vertical="center" wrapText="1"/>
      <protection locked="0"/>
    </xf>
    <xf numFmtId="183" fontId="26" fillId="22" borderId="52" xfId="0" applyNumberFormat="1" applyFont="1" applyFill="1" applyBorder="1" applyAlignment="1" applyProtection="1">
      <alignment horizontal="right" vertical="center"/>
      <protection locked="0"/>
    </xf>
    <xf numFmtId="4" fontId="44" fillId="22" borderId="24" xfId="0" applyNumberFormat="1" applyFont="1" applyFill="1" applyBorder="1" applyAlignment="1" applyProtection="1">
      <alignment horizontal="right" vertical="center" wrapText="1"/>
      <protection locked="0"/>
    </xf>
    <xf numFmtId="4" fontId="44" fillId="22" borderId="13" xfId="0" applyNumberFormat="1" applyFont="1" applyFill="1" applyBorder="1" applyAlignment="1" applyProtection="1">
      <alignment horizontal="right" vertical="center" wrapText="1"/>
      <protection locked="0"/>
    </xf>
    <xf numFmtId="4" fontId="26" fillId="23" borderId="82" xfId="0" applyNumberFormat="1" applyFont="1" applyFill="1" applyBorder="1" applyAlignment="1" applyProtection="1">
      <alignment horizontal="center" vertical="center" wrapText="1"/>
      <protection locked="0"/>
    </xf>
    <xf numFmtId="4" fontId="26" fillId="23" borderId="82" xfId="0" applyNumberFormat="1" applyFont="1" applyFill="1" applyBorder="1" applyAlignment="1" applyProtection="1">
      <alignment horizontal="center" wrapText="1"/>
      <protection locked="0"/>
    </xf>
    <xf numFmtId="173" fontId="26" fillId="22" borderId="80" xfId="0" applyNumberFormat="1" applyFont="1" applyFill="1" applyBorder="1" applyAlignment="1" applyProtection="1">
      <alignment horizontal="right" vertical="center"/>
      <protection locked="0"/>
    </xf>
    <xf numFmtId="173" fontId="26" fillId="22" borderId="78" xfId="0" applyNumberFormat="1" applyFont="1" applyFill="1" applyBorder="1" applyAlignment="1" applyProtection="1">
      <alignment horizontal="right" vertical="center"/>
      <protection locked="0"/>
    </xf>
    <xf numFmtId="4" fontId="44" fillId="22" borderId="81" xfId="0" applyNumberFormat="1" applyFont="1" applyFill="1" applyBorder="1" applyAlignment="1" applyProtection="1">
      <alignment horizontal="center" vertical="center" wrapText="1"/>
      <protection locked="0"/>
    </xf>
    <xf numFmtId="4" fontId="44" fillId="23" borderId="52" xfId="0" applyNumberFormat="1" applyFont="1" applyFill="1" applyBorder="1" applyAlignment="1" applyProtection="1">
      <alignment horizontal="center" vertical="center" wrapText="1"/>
      <protection locked="0"/>
    </xf>
    <xf numFmtId="173" fontId="55" fillId="22" borderId="24" xfId="0" applyNumberFormat="1" applyFont="1" applyFill="1" applyBorder="1" applyAlignment="1" applyProtection="1">
      <alignment horizontal="right" vertical="center"/>
      <protection locked="0"/>
    </xf>
    <xf numFmtId="173" fontId="55" fillId="22" borderId="13" xfId="0" applyNumberFormat="1" applyFont="1" applyFill="1" applyBorder="1" applyAlignment="1" applyProtection="1">
      <alignment horizontal="right" vertical="center"/>
      <protection locked="0"/>
    </xf>
    <xf numFmtId="2" fontId="26" fillId="23" borderId="81" xfId="0" applyNumberFormat="1" applyFont="1" applyFill="1" applyBorder="1" applyAlignment="1" applyProtection="1">
      <alignment horizontal="center"/>
      <protection locked="0"/>
    </xf>
    <xf numFmtId="2" fontId="26" fillId="23" borderId="15" xfId="0" applyNumberFormat="1" applyFont="1" applyFill="1" applyBorder="1" applyAlignment="1" applyProtection="1">
      <alignment horizontal="center"/>
      <protection locked="0"/>
    </xf>
    <xf numFmtId="2" fontId="26" fillId="23" borderId="52" xfId="0" applyNumberFormat="1" applyFont="1" applyFill="1" applyBorder="1" applyAlignment="1" applyProtection="1">
      <alignment horizontal="center"/>
      <protection locked="0"/>
    </xf>
    <xf numFmtId="168" fontId="26" fillId="23" borderId="52" xfId="0" applyNumberFormat="1" applyFont="1" applyFill="1" applyBorder="1" applyAlignment="1" applyProtection="1">
      <alignment horizontal="center"/>
      <protection locked="0"/>
    </xf>
    <xf numFmtId="168" fontId="26" fillId="23" borderId="81" xfId="0" applyNumberFormat="1" applyFont="1" applyFill="1" applyBorder="1" applyAlignment="1" applyProtection="1">
      <alignment horizontal="center"/>
      <protection locked="0"/>
    </xf>
    <xf numFmtId="168" fontId="55" fillId="0" borderId="79" xfId="0" applyNumberFormat="1" applyFont="1" applyFill="1" applyBorder="1" applyAlignment="1" applyProtection="1">
      <alignment horizontal="right" vertical="center"/>
      <protection locked="0"/>
    </xf>
    <xf numFmtId="2" fontId="26" fillId="0" borderId="81" xfId="0" applyNumberFormat="1" applyFont="1" applyFill="1" applyBorder="1" applyAlignment="1" applyProtection="1">
      <alignment horizontal="center"/>
      <protection locked="0"/>
    </xf>
    <xf numFmtId="2" fontId="26" fillId="0" borderId="52" xfId="0" applyNumberFormat="1" applyFont="1" applyFill="1" applyBorder="1" applyAlignment="1" applyProtection="1">
      <alignment horizontal="center"/>
      <protection locked="0"/>
    </xf>
    <xf numFmtId="168" fontId="55" fillId="0" borderId="14" xfId="0" applyNumberFormat="1" applyFont="1" applyFill="1" applyBorder="1" applyAlignment="1" applyProtection="1">
      <alignment horizontal="right" vertical="center"/>
      <protection locked="0"/>
    </xf>
    <xf numFmtId="168" fontId="55" fillId="0" borderId="80" xfId="0" applyNumberFormat="1" applyFont="1" applyFill="1" applyBorder="1" applyAlignment="1" applyProtection="1">
      <alignment horizontal="right" vertical="center"/>
      <protection locked="0"/>
    </xf>
    <xf numFmtId="0" fontId="26" fillId="22" borderId="13" xfId="0" applyFont="1" applyFill="1" applyBorder="1" applyAlignment="1" applyProtection="1">
      <alignment horizontal="center"/>
      <protection locked="0"/>
    </xf>
    <xf numFmtId="168" fontId="26" fillId="22" borderId="24" xfId="0" applyNumberFormat="1" applyFont="1" applyFill="1" applyBorder="1" applyAlignment="1" applyProtection="1">
      <alignment horizontal="center"/>
      <protection locked="0"/>
    </xf>
    <xf numFmtId="0" fontId="26" fillId="22" borderId="13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6" fillId="22" borderId="0" xfId="0" applyFont="1" applyFill="1" applyAlignment="1" applyProtection="1">
      <alignment/>
      <protection locked="0"/>
    </xf>
    <xf numFmtId="0" fontId="41" fillId="0" borderId="0" xfId="0" applyFont="1" applyAlignment="1" applyProtection="1">
      <alignment horizontal="left" vertical="center"/>
      <protection locked="0"/>
    </xf>
    <xf numFmtId="183" fontId="23" fillId="0" borderId="0" xfId="0" applyNumberFormat="1" applyFont="1" applyFill="1" applyAlignment="1" applyProtection="1">
      <alignment horizontal="right" vertical="center"/>
      <protection locked="0"/>
    </xf>
    <xf numFmtId="173" fontId="23" fillId="0" borderId="0" xfId="0" applyNumberFormat="1" applyFont="1" applyFill="1" applyAlignment="1" applyProtection="1">
      <alignment horizontal="right" vertical="center"/>
      <protection locked="0"/>
    </xf>
    <xf numFmtId="4" fontId="23" fillId="0" borderId="0" xfId="0" applyNumberFormat="1" applyFont="1" applyFill="1" applyAlignment="1" applyProtection="1">
      <alignment horizontal="right" vertical="center"/>
      <protection locked="0"/>
    </xf>
    <xf numFmtId="173" fontId="23" fillId="0" borderId="0" xfId="0" applyNumberFormat="1" applyFont="1" applyFill="1" applyAlignment="1" applyProtection="1">
      <alignment horizontal="center" vertical="center"/>
      <protection locked="0"/>
    </xf>
    <xf numFmtId="2" fontId="23" fillId="0" borderId="0" xfId="0" applyNumberFormat="1" applyFont="1" applyFill="1" applyAlignment="1" applyProtection="1">
      <alignment horizontal="center" vertical="center"/>
      <protection locked="0"/>
    </xf>
    <xf numFmtId="173" fontId="23" fillId="0" borderId="0" xfId="0" applyNumberFormat="1" applyFont="1" applyAlignment="1" applyProtection="1">
      <alignment horizontal="right" vertical="center" wrapText="1"/>
      <protection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183" fontId="57" fillId="0" borderId="0" xfId="0" applyNumberFormat="1" applyFont="1" applyFill="1" applyAlignment="1" applyProtection="1">
      <alignment horizontal="right" vertical="center"/>
      <protection locked="0"/>
    </xf>
    <xf numFmtId="173" fontId="57" fillId="0" borderId="0" xfId="0" applyNumberFormat="1" applyFont="1" applyFill="1" applyAlignment="1" applyProtection="1">
      <alignment horizontal="right" vertical="center"/>
      <protection locked="0"/>
    </xf>
    <xf numFmtId="173" fontId="57" fillId="0" borderId="0" xfId="0" applyNumberFormat="1" applyFont="1" applyFill="1" applyAlignment="1" applyProtection="1">
      <alignment horizontal="center" vertical="center"/>
      <protection locked="0"/>
    </xf>
    <xf numFmtId="173" fontId="57" fillId="0" borderId="0" xfId="0" applyNumberFormat="1" applyFont="1" applyAlignment="1" applyProtection="1">
      <alignment horizontal="right" vertical="center" wrapText="1"/>
      <protection/>
    </xf>
    <xf numFmtId="173" fontId="26" fillId="0" borderId="0" xfId="0" applyNumberFormat="1" applyFont="1" applyFill="1" applyAlignment="1" applyProtection="1">
      <alignment horizontal="right" vertical="center"/>
      <protection locked="0"/>
    </xf>
    <xf numFmtId="173" fontId="26" fillId="0" borderId="0" xfId="0" applyNumberFormat="1" applyFont="1" applyFill="1" applyAlignment="1" applyProtection="1">
      <alignment horizontal="center" vertical="center"/>
      <protection locked="0"/>
    </xf>
    <xf numFmtId="168" fontId="26" fillId="0" borderId="0" xfId="0" applyNumberFormat="1" applyFont="1" applyAlignment="1" applyProtection="1">
      <alignment horizontal="center"/>
      <protection locked="0"/>
    </xf>
    <xf numFmtId="168" fontId="26" fillId="0" borderId="0" xfId="0" applyNumberFormat="1" applyFont="1" applyAlignment="1" applyProtection="1">
      <alignment/>
      <protection locked="0"/>
    </xf>
    <xf numFmtId="173" fontId="58" fillId="0" borderId="0" xfId="0" applyNumberFormat="1" applyFont="1" applyAlignment="1" applyProtection="1">
      <alignment vertical="center" wrapText="1"/>
      <protection locked="0"/>
    </xf>
    <xf numFmtId="173" fontId="58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73" fontId="41" fillId="0" borderId="0" xfId="0" applyNumberFormat="1" applyFont="1" applyAlignment="1" applyProtection="1">
      <alignment horizontal="right" vertical="center"/>
      <protection locked="0"/>
    </xf>
    <xf numFmtId="173" fontId="41" fillId="0" borderId="0" xfId="0" applyNumberFormat="1" applyFont="1" applyAlignment="1" applyProtection="1">
      <alignment horizontal="center" vertical="center"/>
      <protection locked="0"/>
    </xf>
    <xf numFmtId="183" fontId="23" fillId="0" borderId="0" xfId="0" applyNumberFormat="1" applyFont="1" applyFill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173" fontId="23" fillId="0" borderId="0" xfId="0" applyNumberFormat="1" applyFont="1" applyAlignment="1" applyProtection="1">
      <alignment horizontal="right" vertical="center" wrapText="1"/>
      <protection locked="0"/>
    </xf>
    <xf numFmtId="43" fontId="32" fillId="0" borderId="0" xfId="85" applyFont="1" applyFill="1" applyBorder="1" applyAlignment="1">
      <alignment wrapText="1"/>
    </xf>
    <xf numFmtId="169" fontId="23" fillId="0" borderId="0" xfId="0" applyNumberFormat="1" applyFont="1" applyFill="1" applyBorder="1" applyAlignment="1">
      <alignment/>
    </xf>
    <xf numFmtId="168" fontId="32" fillId="0" borderId="0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 vertical="center" wrapText="1"/>
    </xf>
    <xf numFmtId="1" fontId="38" fillId="0" borderId="22" xfId="0" applyNumberFormat="1" applyFont="1" applyFill="1" applyBorder="1" applyAlignment="1">
      <alignment horizontal="center" vertical="top" wrapText="1"/>
    </xf>
    <xf numFmtId="0" fontId="37" fillId="0" borderId="22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wrapText="1"/>
    </xf>
    <xf numFmtId="0" fontId="38" fillId="0" borderId="30" xfId="0" applyFont="1" applyFill="1" applyBorder="1" applyAlignment="1">
      <alignment horizont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23" borderId="83" xfId="0" applyFont="1" applyFill="1" applyBorder="1" applyAlignment="1">
      <alignment horizontal="center" vertical="center" wrapText="1"/>
    </xf>
    <xf numFmtId="0" fontId="26" fillId="24" borderId="83" xfId="0" applyFont="1" applyFill="1" applyBorder="1" applyAlignment="1">
      <alignment horizontal="center" vertical="center" wrapText="1"/>
    </xf>
    <xf numFmtId="173" fontId="30" fillId="24" borderId="83" xfId="0" applyNumberFormat="1" applyFont="1" applyFill="1" applyBorder="1" applyAlignment="1">
      <alignment horizontal="center" vertical="center" wrapText="1"/>
    </xf>
    <xf numFmtId="0" fontId="30" fillId="24" borderId="83" xfId="0" applyNumberFormat="1" applyFont="1" applyFill="1" applyBorder="1" applyAlignment="1">
      <alignment horizontal="center" vertical="center" wrapText="1"/>
    </xf>
    <xf numFmtId="168" fontId="30" fillId="24" borderId="83" xfId="0" applyNumberFormat="1" applyFont="1" applyFill="1" applyBorder="1" applyAlignment="1">
      <alignment horizontal="center" vertical="center" wrapText="1"/>
    </xf>
    <xf numFmtId="1" fontId="30" fillId="0" borderId="83" xfId="0" applyNumberFormat="1" applyFont="1" applyFill="1" applyBorder="1" applyAlignment="1">
      <alignment horizontal="center" vertical="center" wrapText="1"/>
    </xf>
    <xf numFmtId="0" fontId="30" fillId="0" borderId="83" xfId="0" applyFont="1" applyFill="1" applyBorder="1" applyAlignment="1">
      <alignment horizontal="center" wrapText="1"/>
    </xf>
    <xf numFmtId="182" fontId="30" fillId="24" borderId="83" xfId="0" applyNumberFormat="1" applyFont="1" applyFill="1" applyBorder="1" applyAlignment="1">
      <alignment horizontal="center" vertical="center" wrapText="1"/>
    </xf>
    <xf numFmtId="0" fontId="30" fillId="0" borderId="83" xfId="0" applyFont="1" applyFill="1" applyBorder="1" applyAlignment="1">
      <alignment horizontal="center" vertical="top" wrapText="1"/>
    </xf>
    <xf numFmtId="0" fontId="32" fillId="0" borderId="83" xfId="0" applyFont="1" applyFill="1" applyBorder="1" applyAlignment="1">
      <alignment horizontal="center" vertical="top" wrapText="1"/>
    </xf>
    <xf numFmtId="173" fontId="32" fillId="24" borderId="83" xfId="0" applyNumberFormat="1" applyFont="1" applyFill="1" applyBorder="1" applyAlignment="1">
      <alignment horizontal="center" vertical="center" wrapText="1"/>
    </xf>
    <xf numFmtId="0" fontId="32" fillId="24" borderId="83" xfId="0" applyNumberFormat="1" applyFont="1" applyFill="1" applyBorder="1" applyAlignment="1">
      <alignment horizontal="center" vertical="center" wrapText="1"/>
    </xf>
    <xf numFmtId="168" fontId="32" fillId="24" borderId="83" xfId="0" applyNumberFormat="1" applyFont="1" applyFill="1" applyBorder="1" applyAlignment="1">
      <alignment horizontal="center" vertical="center" wrapText="1"/>
    </xf>
    <xf numFmtId="1" fontId="32" fillId="0" borderId="83" xfId="0" applyNumberFormat="1" applyFont="1" applyFill="1" applyBorder="1" applyAlignment="1">
      <alignment horizontal="center" vertical="center" wrapText="1"/>
    </xf>
    <xf numFmtId="182" fontId="32" fillId="24" borderId="83" xfId="0" applyNumberFormat="1" applyFont="1" applyFill="1" applyBorder="1" applyAlignment="1">
      <alignment horizontal="center" vertical="center" wrapText="1"/>
    </xf>
    <xf numFmtId="43" fontId="32" fillId="0" borderId="83" xfId="85" applyFont="1" applyFill="1" applyBorder="1" applyAlignment="1">
      <alignment horizontal="center" vertical="top" wrapText="1"/>
    </xf>
    <xf numFmtId="43" fontId="32" fillId="24" borderId="83" xfId="85" applyFont="1" applyFill="1" applyBorder="1" applyAlignment="1">
      <alignment horizontal="center" vertical="center" wrapText="1"/>
    </xf>
    <xf numFmtId="173" fontId="32" fillId="0" borderId="83" xfId="0" applyNumberFormat="1" applyFont="1" applyFill="1" applyBorder="1" applyAlignment="1">
      <alignment horizontal="center" vertical="center" wrapText="1"/>
    </xf>
    <xf numFmtId="0" fontId="30" fillId="0" borderId="83" xfId="0" applyFont="1" applyFill="1" applyBorder="1" applyAlignment="1">
      <alignment horizontal="center" vertical="center" wrapText="1"/>
    </xf>
    <xf numFmtId="173" fontId="30" fillId="0" borderId="83" xfId="0" applyNumberFormat="1" applyFont="1" applyFill="1" applyBorder="1" applyAlignment="1">
      <alignment horizontal="center" vertical="center" wrapText="1"/>
    </xf>
    <xf numFmtId="183" fontId="30" fillId="0" borderId="83" xfId="0" applyNumberFormat="1" applyFont="1" applyFill="1" applyBorder="1" applyAlignment="1">
      <alignment horizontal="center" vertical="center" wrapText="1"/>
    </xf>
    <xf numFmtId="10" fontId="30" fillId="0" borderId="83" xfId="0" applyNumberFormat="1" applyFont="1" applyFill="1" applyBorder="1" applyAlignment="1">
      <alignment horizontal="center" vertical="center" wrapText="1"/>
    </xf>
    <xf numFmtId="168" fontId="30" fillId="0" borderId="83" xfId="0" applyNumberFormat="1" applyFont="1" applyFill="1" applyBorder="1" applyAlignment="1">
      <alignment horizontal="center" vertical="center" wrapText="1"/>
    </xf>
    <xf numFmtId="1" fontId="30" fillId="24" borderId="83" xfId="0" applyNumberFormat="1" applyFont="1" applyFill="1" applyBorder="1" applyAlignment="1">
      <alignment horizontal="center" vertical="center" wrapText="1"/>
    </xf>
    <xf numFmtId="168" fontId="30" fillId="23" borderId="83" xfId="0" applyNumberFormat="1" applyFont="1" applyFill="1" applyBorder="1" applyAlignment="1">
      <alignment horizontal="center" vertical="center" wrapText="1"/>
    </xf>
    <xf numFmtId="4" fontId="14" fillId="23" borderId="83" xfId="68" applyNumberFormat="1" applyFont="1" applyFill="1" applyBorder="1" applyAlignment="1">
      <alignment horizontal="center" vertical="center" wrapText="1"/>
      <protection/>
    </xf>
    <xf numFmtId="4" fontId="14" fillId="0" borderId="83" xfId="68" applyNumberFormat="1" applyFont="1" applyFill="1" applyBorder="1" applyAlignment="1">
      <alignment horizontal="center" vertical="center" wrapText="1"/>
      <protection/>
    </xf>
    <xf numFmtId="3" fontId="30" fillId="0" borderId="83" xfId="0" applyNumberFormat="1" applyFont="1" applyBorder="1" applyAlignment="1">
      <alignment horizontal="center" vertical="center" wrapText="1"/>
    </xf>
    <xf numFmtId="168" fontId="30" fillId="0" borderId="83" xfId="0" applyNumberFormat="1" applyFont="1" applyFill="1" applyBorder="1" applyAlignment="1">
      <alignment vertical="center" wrapText="1"/>
    </xf>
    <xf numFmtId="168" fontId="30" fillId="0" borderId="83" xfId="67" applyNumberFormat="1" applyFont="1" applyFill="1" applyBorder="1" applyAlignment="1" applyProtection="1">
      <alignment horizontal="right" vertical="center" wrapText="1"/>
      <protection hidden="1"/>
    </xf>
    <xf numFmtId="2" fontId="30" fillId="24" borderId="83" xfId="0" applyNumberFormat="1" applyFont="1" applyFill="1" applyBorder="1" applyAlignment="1">
      <alignment vertical="center" wrapText="1"/>
    </xf>
    <xf numFmtId="168" fontId="30" fillId="24" borderId="83" xfId="0" applyNumberFormat="1" applyFont="1" applyFill="1" applyBorder="1" applyAlignment="1">
      <alignment vertical="center" wrapText="1"/>
    </xf>
    <xf numFmtId="0" fontId="30" fillId="28" borderId="83" xfId="0" applyFont="1" applyFill="1" applyBorder="1" applyAlignment="1">
      <alignment vertical="center" wrapText="1"/>
    </xf>
    <xf numFmtId="168" fontId="24" fillId="0" borderId="83" xfId="0" applyNumberFormat="1" applyFont="1" applyFill="1" applyBorder="1" applyAlignment="1">
      <alignment horizontal="center" vertical="center" wrapText="1"/>
    </xf>
    <xf numFmtId="0" fontId="30" fillId="0" borderId="83" xfId="0" applyFont="1" applyBorder="1" applyAlignment="1" applyProtection="1">
      <alignment horizontal="center" vertical="center" wrapText="1"/>
      <protection locked="0"/>
    </xf>
    <xf numFmtId="169" fontId="30" fillId="0" borderId="83" xfId="0" applyNumberFormat="1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horizontal="center" vertical="center" wrapText="1"/>
    </xf>
    <xf numFmtId="183" fontId="32" fillId="0" borderId="83" xfId="0" applyNumberFormat="1" applyFont="1" applyFill="1" applyBorder="1" applyAlignment="1">
      <alignment horizontal="center" vertical="center" wrapText="1"/>
    </xf>
    <xf numFmtId="10" fontId="32" fillId="0" borderId="83" xfId="0" applyNumberFormat="1" applyFont="1" applyFill="1" applyBorder="1" applyAlignment="1">
      <alignment horizontal="center" vertical="center" wrapText="1"/>
    </xf>
    <xf numFmtId="4" fontId="59" fillId="23" borderId="83" xfId="68" applyNumberFormat="1" applyFont="1" applyFill="1" applyBorder="1" applyAlignment="1">
      <alignment horizontal="center" vertical="center" wrapText="1"/>
      <protection/>
    </xf>
    <xf numFmtId="4" fontId="59" fillId="0" borderId="83" xfId="68" applyNumberFormat="1" applyFont="1" applyFill="1" applyBorder="1" applyAlignment="1">
      <alignment horizontal="center" vertical="center" wrapText="1"/>
      <protection/>
    </xf>
    <xf numFmtId="168" fontId="32" fillId="0" borderId="83" xfId="0" applyNumberFormat="1" applyFont="1" applyFill="1" applyBorder="1" applyAlignment="1">
      <alignment horizontal="center" vertical="center" wrapText="1"/>
    </xf>
    <xf numFmtId="3" fontId="32" fillId="0" borderId="83" xfId="0" applyNumberFormat="1" applyFont="1" applyBorder="1" applyAlignment="1">
      <alignment horizontal="center" vertical="center" wrapText="1"/>
    </xf>
    <xf numFmtId="168" fontId="32" fillId="0" borderId="83" xfId="0" applyNumberFormat="1" applyFont="1" applyFill="1" applyBorder="1" applyAlignment="1">
      <alignment vertical="center" wrapText="1"/>
    </xf>
    <xf numFmtId="168" fontId="32" fillId="0" borderId="83" xfId="67" applyNumberFormat="1" applyFont="1" applyFill="1" applyBorder="1" applyAlignment="1" applyProtection="1">
      <alignment horizontal="right" vertical="center" wrapText="1"/>
      <protection hidden="1"/>
    </xf>
    <xf numFmtId="2" fontId="32" fillId="24" borderId="83" xfId="0" applyNumberFormat="1" applyFont="1" applyFill="1" applyBorder="1" applyAlignment="1">
      <alignment vertical="center" wrapText="1"/>
    </xf>
    <xf numFmtId="168" fontId="32" fillId="24" borderId="83" xfId="0" applyNumberFormat="1" applyFont="1" applyFill="1" applyBorder="1" applyAlignment="1">
      <alignment vertical="center" wrapText="1"/>
    </xf>
    <xf numFmtId="0" fontId="32" fillId="28" borderId="83" xfId="0" applyFont="1" applyFill="1" applyBorder="1" applyAlignment="1">
      <alignment vertical="center" wrapText="1"/>
    </xf>
    <xf numFmtId="168" fontId="25" fillId="0" borderId="83" xfId="0" applyNumberFormat="1" applyFont="1" applyFill="1" applyBorder="1" applyAlignment="1">
      <alignment horizontal="center" vertical="center" wrapText="1"/>
    </xf>
    <xf numFmtId="0" fontId="32" fillId="0" borderId="83" xfId="0" applyFont="1" applyBorder="1" applyAlignment="1" applyProtection="1">
      <alignment horizontal="center" vertical="center" wrapText="1"/>
      <protection locked="0"/>
    </xf>
    <xf numFmtId="169" fontId="32" fillId="0" borderId="83" xfId="0" applyNumberFormat="1" applyFont="1" applyFill="1" applyBorder="1" applyAlignment="1">
      <alignment horizontal="center" vertical="center" wrapText="1"/>
    </xf>
    <xf numFmtId="43" fontId="32" fillId="0" borderId="83" xfId="85" applyFont="1" applyFill="1" applyBorder="1" applyAlignment="1">
      <alignment horizontal="center" vertical="center" wrapText="1"/>
    </xf>
    <xf numFmtId="43" fontId="32" fillId="0" borderId="83" xfId="85" applyFont="1" applyFill="1" applyBorder="1" applyAlignment="1">
      <alignment vertical="center" wrapText="1"/>
    </xf>
    <xf numFmtId="43" fontId="32" fillId="0" borderId="83" xfId="85" applyFont="1" applyFill="1" applyBorder="1" applyAlignment="1" applyProtection="1">
      <alignment horizontal="right" vertical="center" wrapText="1"/>
      <protection hidden="1"/>
    </xf>
    <xf numFmtId="43" fontId="32" fillId="0" borderId="83" xfId="85" applyFont="1" applyBorder="1" applyAlignment="1" applyProtection="1">
      <alignment horizontal="center" vertical="center" wrapText="1"/>
      <protection locked="0"/>
    </xf>
    <xf numFmtId="3" fontId="32" fillId="0" borderId="83" xfId="0" applyNumberFormat="1" applyFont="1" applyFill="1" applyBorder="1" applyAlignment="1">
      <alignment horizontal="center" vertical="center" wrapText="1"/>
    </xf>
    <xf numFmtId="0" fontId="32" fillId="0" borderId="83" xfId="0" applyNumberFormat="1" applyFont="1" applyFill="1" applyBorder="1" applyAlignment="1">
      <alignment horizontal="center" vertical="center" wrapText="1"/>
    </xf>
    <xf numFmtId="2" fontId="32" fillId="0" borderId="83" xfId="0" applyNumberFormat="1" applyFont="1" applyFill="1" applyBorder="1" applyAlignment="1">
      <alignment vertical="center" wrapText="1"/>
    </xf>
    <xf numFmtId="0" fontId="32" fillId="0" borderId="83" xfId="0" applyFont="1" applyFill="1" applyBorder="1" applyAlignment="1">
      <alignment vertical="center" wrapText="1"/>
    </xf>
    <xf numFmtId="0" fontId="32" fillId="0" borderId="83" xfId="0" applyFont="1" applyFill="1" applyBorder="1" applyAlignment="1" applyProtection="1">
      <alignment horizontal="center" vertical="center" wrapText="1"/>
      <protection locked="0"/>
    </xf>
    <xf numFmtId="1" fontId="32" fillId="24" borderId="83" xfId="0" applyNumberFormat="1" applyFont="1" applyFill="1" applyBorder="1" applyAlignment="1">
      <alignment horizontal="center" vertical="center" wrapText="1"/>
    </xf>
    <xf numFmtId="168" fontId="32" fillId="23" borderId="83" xfId="0" applyNumberFormat="1" applyFont="1" applyFill="1" applyBorder="1" applyAlignment="1">
      <alignment horizontal="center" vertical="center" wrapText="1"/>
    </xf>
    <xf numFmtId="43" fontId="32" fillId="23" borderId="83" xfId="85" applyFont="1" applyFill="1" applyBorder="1" applyAlignment="1">
      <alignment horizontal="center" vertical="center" wrapText="1"/>
    </xf>
    <xf numFmtId="43" fontId="32" fillId="24" borderId="83" xfId="85" applyFont="1" applyFill="1" applyBorder="1" applyAlignment="1">
      <alignment vertical="center" wrapText="1"/>
    </xf>
    <xf numFmtId="0" fontId="38" fillId="0" borderId="84" xfId="0" applyFont="1" applyFill="1" applyBorder="1" applyAlignment="1">
      <alignment horizontal="center" vertical="center" wrapText="1"/>
    </xf>
    <xf numFmtId="0" fontId="38" fillId="0" borderId="83" xfId="0" applyFont="1" applyFill="1" applyBorder="1" applyAlignment="1">
      <alignment horizontal="center" vertical="center" wrapText="1"/>
    </xf>
    <xf numFmtId="168" fontId="38" fillId="0" borderId="84" xfId="0" applyNumberFormat="1" applyFont="1" applyFill="1" applyBorder="1" applyAlignment="1">
      <alignment horizontal="center" vertical="center" wrapText="1"/>
    </xf>
    <xf numFmtId="168" fontId="60" fillId="0" borderId="83" xfId="0" applyNumberFormat="1" applyFont="1" applyFill="1" applyBorder="1" applyAlignment="1">
      <alignment horizontal="center" vertical="center" wrapText="1"/>
    </xf>
    <xf numFmtId="168" fontId="38" fillId="0" borderId="83" xfId="0" applyNumberFormat="1" applyFont="1" applyFill="1" applyBorder="1" applyAlignment="1">
      <alignment horizontal="center" vertical="center" wrapText="1"/>
    </xf>
    <xf numFmtId="183" fontId="32" fillId="0" borderId="83" xfId="0" applyNumberFormat="1" applyFont="1" applyFill="1" applyBorder="1" applyAlignment="1">
      <alignment vertical="center" wrapText="1"/>
    </xf>
    <xf numFmtId="168" fontId="38" fillId="7" borderId="85" xfId="0" applyNumberFormat="1" applyFont="1" applyFill="1" applyBorder="1" applyAlignment="1">
      <alignment horizontal="center" vertical="center" wrapText="1"/>
    </xf>
    <xf numFmtId="168" fontId="38" fillId="7" borderId="86" xfId="0" applyNumberFormat="1" applyFont="1" applyFill="1" applyBorder="1" applyAlignment="1">
      <alignment horizontal="center" vertical="center" wrapText="1"/>
    </xf>
    <xf numFmtId="168" fontId="38" fillId="0" borderId="86" xfId="0" applyNumberFormat="1" applyFont="1" applyFill="1" applyBorder="1" applyAlignment="1">
      <alignment horizontal="center" vertical="center" wrapText="1"/>
    </xf>
    <xf numFmtId="168" fontId="38" fillId="24" borderId="86" xfId="0" applyNumberFormat="1" applyFont="1" applyFill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wrapText="1"/>
    </xf>
    <xf numFmtId="0" fontId="38" fillId="0" borderId="83" xfId="0" applyFont="1" applyFill="1" applyBorder="1" applyAlignment="1">
      <alignment horizontal="left" vertical="top" wrapText="1"/>
    </xf>
    <xf numFmtId="0" fontId="39" fillId="0" borderId="88" xfId="0" applyFont="1" applyFill="1" applyBorder="1" applyAlignment="1">
      <alignment horizontal="center" wrapText="1"/>
    </xf>
    <xf numFmtId="0" fontId="37" fillId="0" borderId="89" xfId="0" applyFont="1" applyFill="1" applyBorder="1" applyAlignment="1">
      <alignment/>
    </xf>
    <xf numFmtId="168" fontId="37" fillId="24" borderId="89" xfId="0" applyNumberFormat="1" applyFont="1" applyFill="1" applyBorder="1" applyAlignment="1">
      <alignment horizontal="center"/>
    </xf>
    <xf numFmtId="1" fontId="37" fillId="24" borderId="89" xfId="0" applyNumberFormat="1" applyFont="1" applyFill="1" applyBorder="1" applyAlignment="1">
      <alignment horizontal="center" vertical="top" wrapText="1"/>
    </xf>
    <xf numFmtId="168" fontId="37" fillId="24" borderId="9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center" wrapText="1"/>
    </xf>
    <xf numFmtId="0" fontId="38" fillId="0" borderId="84" xfId="0" applyFont="1" applyFill="1" applyBorder="1" applyAlignment="1">
      <alignment horizontal="left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26" fillId="0" borderId="95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0" borderId="97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99" xfId="0" applyFont="1" applyFill="1" applyBorder="1" applyAlignment="1">
      <alignment horizontal="center" vertical="center" wrapText="1"/>
    </xf>
    <xf numFmtId="0" fontId="26" fillId="0" borderId="100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6" fillId="0" borderId="101" xfId="0" applyFont="1" applyFill="1" applyBorder="1" applyAlignment="1">
      <alignment horizontal="center" vertical="center" wrapText="1"/>
    </xf>
    <xf numFmtId="192" fontId="32" fillId="0" borderId="83" xfId="85" applyNumberFormat="1" applyFont="1" applyFill="1" applyBorder="1" applyAlignment="1">
      <alignment vertical="center" wrapText="1"/>
    </xf>
    <xf numFmtId="193" fontId="32" fillId="0" borderId="83" xfId="85" applyNumberFormat="1" applyFont="1" applyBorder="1" applyAlignment="1">
      <alignment horizontal="left" vertical="center" wrapText="1" indent="1"/>
    </xf>
    <xf numFmtId="0" fontId="26" fillId="0" borderId="83" xfId="0" applyFont="1" applyFill="1" applyBorder="1" applyAlignment="1">
      <alignment horizontal="center" vertical="center" wrapText="1"/>
    </xf>
    <xf numFmtId="173" fontId="30" fillId="0" borderId="83" xfId="0" applyNumberFormat="1" applyFont="1" applyFill="1" applyBorder="1" applyAlignment="1">
      <alignment vertical="center"/>
    </xf>
    <xf numFmtId="183" fontId="30" fillId="0" borderId="83" xfId="0" applyNumberFormat="1" applyFont="1" applyFill="1" applyBorder="1" applyAlignment="1">
      <alignment horizontal="center" vertical="center"/>
    </xf>
    <xf numFmtId="10" fontId="30" fillId="0" borderId="83" xfId="0" applyNumberFormat="1" applyFont="1" applyFill="1" applyBorder="1" applyAlignment="1">
      <alignment horizontal="center" vertical="center"/>
    </xf>
    <xf numFmtId="10" fontId="30" fillId="28" borderId="83" xfId="0" applyNumberFormat="1" applyFont="1" applyFill="1" applyBorder="1" applyAlignment="1">
      <alignment horizontal="center" vertical="center"/>
    </xf>
    <xf numFmtId="173" fontId="30" fillId="0" borderId="83" xfId="0" applyNumberFormat="1" applyFont="1" applyFill="1" applyBorder="1" applyAlignment="1">
      <alignment wrapText="1"/>
    </xf>
    <xf numFmtId="4" fontId="23" fillId="0" borderId="83" xfId="0" applyNumberFormat="1" applyFont="1" applyFill="1" applyBorder="1" applyAlignment="1" applyProtection="1">
      <alignment horizontal="right" vertical="center"/>
      <protection locked="0"/>
    </xf>
    <xf numFmtId="168" fontId="30" fillId="0" borderId="83" xfId="0" applyNumberFormat="1" applyFont="1" applyFill="1" applyBorder="1" applyAlignment="1">
      <alignment/>
    </xf>
    <xf numFmtId="0" fontId="30" fillId="0" borderId="83" xfId="0" applyFont="1" applyFill="1" applyBorder="1" applyAlignment="1">
      <alignment/>
    </xf>
    <xf numFmtId="1" fontId="30" fillId="0" borderId="83" xfId="0" applyNumberFormat="1" applyFont="1" applyFill="1" applyBorder="1" applyAlignment="1">
      <alignment vertical="center"/>
    </xf>
    <xf numFmtId="1" fontId="30" fillId="0" borderId="83" xfId="0" applyNumberFormat="1" applyFont="1" applyFill="1" applyBorder="1" applyAlignment="1">
      <alignment horizontal="center" vertical="center" wrapText="1"/>
    </xf>
    <xf numFmtId="168" fontId="30" fillId="0" borderId="83" xfId="0" applyNumberFormat="1" applyFont="1" applyFill="1" applyBorder="1" applyAlignment="1">
      <alignment horizontal="center" vertical="center" wrapText="1"/>
    </xf>
    <xf numFmtId="1" fontId="30" fillId="0" borderId="83" xfId="0" applyNumberFormat="1" applyFont="1" applyFill="1" applyBorder="1" applyAlignment="1">
      <alignment/>
    </xf>
    <xf numFmtId="168" fontId="30" fillId="7" borderId="83" xfId="0" applyNumberFormat="1" applyFont="1" applyFill="1" applyBorder="1" applyAlignment="1">
      <alignment horizontal="center" vertical="center" wrapText="1"/>
    </xf>
    <xf numFmtId="173" fontId="30" fillId="0" borderId="83" xfId="0" applyNumberFormat="1" applyFont="1" applyFill="1" applyBorder="1" applyAlignment="1">
      <alignment vertical="center" wrapText="1"/>
    </xf>
    <xf numFmtId="0" fontId="24" fillId="29" borderId="83" xfId="0" applyFont="1" applyFill="1" applyBorder="1" applyAlignment="1">
      <alignment horizontal="center" wrapText="1"/>
    </xf>
    <xf numFmtId="0" fontId="24" fillId="29" borderId="83" xfId="0" applyFont="1" applyFill="1" applyBorder="1" applyAlignment="1">
      <alignment/>
    </xf>
    <xf numFmtId="168" fontId="24" fillId="29" borderId="83" xfId="0" applyNumberFormat="1" applyFont="1" applyFill="1" applyBorder="1" applyAlignment="1">
      <alignment horizontal="center" vertical="center" wrapText="1"/>
    </xf>
    <xf numFmtId="173" fontId="24" fillId="29" borderId="83" xfId="0" applyNumberFormat="1" applyFont="1" applyFill="1" applyBorder="1" applyAlignment="1">
      <alignment horizontal="center" vertical="center" wrapText="1"/>
    </xf>
    <xf numFmtId="183" fontId="24" fillId="29" borderId="83" xfId="0" applyNumberFormat="1" applyFont="1" applyFill="1" applyBorder="1" applyAlignment="1">
      <alignment horizontal="center" vertical="center" wrapText="1"/>
    </xf>
    <xf numFmtId="173" fontId="24" fillId="29" borderId="83" xfId="0" applyNumberFormat="1" applyFont="1" applyFill="1" applyBorder="1" applyAlignment="1">
      <alignment vertical="center"/>
    </xf>
    <xf numFmtId="183" fontId="24" fillId="29" borderId="83" xfId="0" applyNumberFormat="1" applyFont="1" applyFill="1" applyBorder="1" applyAlignment="1">
      <alignment horizontal="center" vertical="center"/>
    </xf>
    <xf numFmtId="168" fontId="24" fillId="29" borderId="83" xfId="0" applyNumberFormat="1" applyFont="1" applyFill="1" applyBorder="1" applyAlignment="1">
      <alignment horizontal="center" vertical="center"/>
    </xf>
    <xf numFmtId="10" fontId="24" fillId="29" borderId="83" xfId="0" applyNumberFormat="1" applyFont="1" applyFill="1" applyBorder="1" applyAlignment="1">
      <alignment horizontal="center" vertical="center"/>
    </xf>
    <xf numFmtId="183" fontId="24" fillId="29" borderId="83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73" fontId="24" fillId="29" borderId="83" xfId="0" applyNumberFormat="1" applyFont="1" applyFill="1" applyBorder="1" applyAlignment="1">
      <alignment/>
    </xf>
    <xf numFmtId="173" fontId="24" fillId="29" borderId="83" xfId="0" applyNumberFormat="1" applyFont="1" applyFill="1" applyBorder="1" applyAlignment="1">
      <alignment wrapText="1"/>
    </xf>
    <xf numFmtId="173" fontId="24" fillId="29" borderId="83" xfId="0" applyNumberFormat="1" applyFont="1" applyFill="1" applyBorder="1" applyAlignment="1">
      <alignment vertical="center" wrapText="1"/>
    </xf>
    <xf numFmtId="168" fontId="24" fillId="29" borderId="83" xfId="0" applyNumberFormat="1" applyFont="1" applyFill="1" applyBorder="1" applyAlignment="1">
      <alignment vertical="center" wrapText="1"/>
    </xf>
    <xf numFmtId="0" fontId="24" fillId="29" borderId="83" xfId="0" applyNumberFormat="1" applyFont="1" applyFill="1" applyBorder="1" applyAlignment="1">
      <alignment horizontal="center" vertical="center" wrapText="1"/>
    </xf>
    <xf numFmtId="4" fontId="44" fillId="29" borderId="83" xfId="0" applyNumberFormat="1" applyFont="1" applyFill="1" applyBorder="1" applyAlignment="1" applyProtection="1">
      <alignment horizontal="center" vertical="center" wrapText="1"/>
      <protection locked="0"/>
    </xf>
    <xf numFmtId="2" fontId="24" fillId="29" borderId="83" xfId="0" applyNumberFormat="1" applyFont="1" applyFill="1" applyBorder="1" applyAlignment="1">
      <alignment horizontal="center" vertical="center" wrapText="1"/>
    </xf>
    <xf numFmtId="168" fontId="24" fillId="29" borderId="83" xfId="0" applyNumberFormat="1" applyFont="1" applyFill="1" applyBorder="1" applyAlignment="1">
      <alignment/>
    </xf>
    <xf numFmtId="168" fontId="24" fillId="29" borderId="83" xfId="0" applyNumberFormat="1" applyFont="1" applyFill="1" applyBorder="1" applyAlignment="1">
      <alignment/>
    </xf>
    <xf numFmtId="1" fontId="24" fillId="29" borderId="83" xfId="66" applyNumberFormat="1" applyFont="1" applyFill="1" applyBorder="1" applyAlignment="1">
      <alignment/>
      <protection/>
    </xf>
    <xf numFmtId="168" fontId="24" fillId="29" borderId="83" xfId="66" applyNumberFormat="1" applyFont="1" applyFill="1" applyBorder="1" applyAlignment="1">
      <alignment/>
      <protection/>
    </xf>
    <xf numFmtId="1" fontId="24" fillId="29" borderId="83" xfId="0" applyNumberFormat="1" applyFont="1" applyFill="1" applyBorder="1" applyAlignment="1">
      <alignment horizontal="center" vertical="center" wrapText="1"/>
    </xf>
    <xf numFmtId="169" fontId="24" fillId="29" borderId="83" xfId="0" applyNumberFormat="1" applyFont="1" applyFill="1" applyBorder="1" applyAlignment="1">
      <alignment horizontal="center" vertical="center" wrapText="1"/>
    </xf>
    <xf numFmtId="173" fontId="68" fillId="29" borderId="83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83" xfId="0" applyNumberFormat="1" applyFont="1" applyFill="1" applyBorder="1" applyAlignment="1">
      <alignment horizontal="center" vertical="center" wrapText="1"/>
    </xf>
    <xf numFmtId="2" fontId="30" fillId="24" borderId="83" xfId="0" applyNumberFormat="1" applyFont="1" applyFill="1" applyBorder="1" applyAlignment="1">
      <alignment horizontal="center" vertical="center"/>
    </xf>
    <xf numFmtId="0" fontId="30" fillId="24" borderId="83" xfId="0" applyNumberFormat="1" applyFont="1" applyFill="1" applyBorder="1" applyAlignment="1">
      <alignment horizontal="center" vertical="center"/>
    </xf>
    <xf numFmtId="168" fontId="30" fillId="24" borderId="83" xfId="0" applyNumberFormat="1" applyFont="1" applyFill="1" applyBorder="1" applyAlignment="1">
      <alignment horizontal="center" vertical="center" wrapText="1"/>
    </xf>
    <xf numFmtId="4" fontId="23" fillId="0" borderId="83" xfId="69" applyNumberFormat="1" applyFont="1" applyFill="1" applyBorder="1" applyAlignment="1">
      <alignment horizontal="center"/>
      <protection/>
    </xf>
    <xf numFmtId="168" fontId="29" fillId="0" borderId="83" xfId="68" applyNumberFormat="1" applyFont="1" applyFill="1" applyBorder="1" applyAlignment="1">
      <alignment horizontal="center"/>
      <protection/>
    </xf>
    <xf numFmtId="173" fontId="14" fillId="0" borderId="83" xfId="68" applyNumberFormat="1" applyFont="1" applyFill="1" applyBorder="1" applyAlignment="1">
      <alignment horizontal="center"/>
      <protection/>
    </xf>
    <xf numFmtId="4" fontId="14" fillId="0" borderId="83" xfId="68" applyNumberFormat="1" applyFont="1" applyFill="1" applyBorder="1" applyAlignment="1">
      <alignment horizontal="center"/>
      <protection/>
    </xf>
    <xf numFmtId="168" fontId="30" fillId="24" borderId="83" xfId="0" applyNumberFormat="1" applyFont="1" applyFill="1" applyBorder="1" applyAlignment="1">
      <alignment/>
    </xf>
    <xf numFmtId="0" fontId="26" fillId="17" borderId="94" xfId="0" applyFont="1" applyFill="1" applyBorder="1" applyAlignment="1">
      <alignment horizontal="center" vertical="center" wrapText="1"/>
    </xf>
    <xf numFmtId="0" fontId="26" fillId="17" borderId="50" xfId="0" applyFont="1" applyFill="1" applyBorder="1" applyAlignment="1">
      <alignment horizontal="center" vertical="center" wrapText="1"/>
    </xf>
    <xf numFmtId="0" fontId="26" fillId="17" borderId="42" xfId="0" applyFont="1" applyFill="1" applyBorder="1" applyAlignment="1">
      <alignment horizontal="center" vertical="center" wrapText="1"/>
    </xf>
    <xf numFmtId="0" fontId="26" fillId="17" borderId="8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2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24" borderId="98" xfId="0" applyFont="1" applyFill="1" applyBorder="1" applyAlignment="1">
      <alignment horizontal="center" vertical="center" wrapText="1"/>
    </xf>
    <xf numFmtId="0" fontId="26" fillId="24" borderId="5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24" borderId="94" xfId="0" applyFont="1" applyFill="1" applyBorder="1" applyAlignment="1">
      <alignment horizontal="center" vertical="center" wrapText="1"/>
    </xf>
    <xf numFmtId="0" fontId="26" fillId="24" borderId="5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6" fillId="0" borderId="98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4" fillId="0" borderId="9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10" borderId="12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horizontal="center" vertical="center" wrapText="1"/>
    </xf>
    <xf numFmtId="0" fontId="26" fillId="23" borderId="12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8" fillId="0" borderId="102" xfId="0" applyFont="1" applyFill="1" applyBorder="1" applyAlignment="1">
      <alignment horizontal="center" vertical="center" wrapText="1"/>
    </xf>
    <xf numFmtId="0" fontId="26" fillId="17" borderId="12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4" fillId="0" borderId="102" xfId="0" applyFont="1" applyFill="1" applyBorder="1" applyAlignment="1">
      <alignment horizontal="center" vertical="center" wrapText="1"/>
    </xf>
    <xf numFmtId="0" fontId="24" fillId="0" borderId="94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8" fillId="0" borderId="94" xfId="0" applyFont="1" applyFill="1" applyBorder="1" applyAlignment="1">
      <alignment horizontal="center" vertical="center" wrapText="1"/>
    </xf>
    <xf numFmtId="0" fontId="28" fillId="0" borderId="101" xfId="0" applyFont="1" applyFill="1" applyBorder="1" applyAlignment="1">
      <alignment horizontal="center" vertical="center" wrapText="1"/>
    </xf>
    <xf numFmtId="0" fontId="28" fillId="0" borderId="92" xfId="0" applyFont="1" applyFill="1" applyBorder="1" applyAlignment="1">
      <alignment horizontal="center" vertical="center" wrapText="1"/>
    </xf>
    <xf numFmtId="0" fontId="28" fillId="24" borderId="94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3" borderId="16" xfId="0" applyFont="1" applyFill="1" applyBorder="1" applyAlignment="1">
      <alignment horizontal="center" vertical="center" wrapText="1"/>
    </xf>
    <xf numFmtId="0" fontId="26" fillId="17" borderId="102" xfId="0" applyFont="1" applyFill="1" applyBorder="1" applyAlignment="1">
      <alignment horizontal="center" vertical="center" wrapText="1"/>
    </xf>
    <xf numFmtId="0" fontId="26" fillId="17" borderId="81" xfId="0" applyFont="1" applyFill="1" applyBorder="1" applyAlignment="1">
      <alignment horizontal="center" vertical="center" wrapText="1"/>
    </xf>
    <xf numFmtId="0" fontId="26" fillId="17" borderId="15" xfId="0" applyFont="1" applyFill="1" applyBorder="1" applyAlignment="1">
      <alignment horizontal="center" vertical="center" wrapText="1"/>
    </xf>
    <xf numFmtId="0" fontId="26" fillId="17" borderId="98" xfId="0" applyFont="1" applyFill="1" applyBorder="1" applyAlignment="1">
      <alignment horizontal="center" vertical="center" wrapText="1"/>
    </xf>
    <xf numFmtId="0" fontId="26" fillId="17" borderId="5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7" fillId="24" borderId="103" xfId="0" applyFont="1" applyFill="1" applyBorder="1" applyAlignment="1">
      <alignment horizontal="center" vertical="center" wrapText="1"/>
    </xf>
    <xf numFmtId="0" fontId="37" fillId="24" borderId="104" xfId="0" applyFont="1" applyFill="1" applyBorder="1" applyAlignment="1">
      <alignment horizontal="center" vertical="center" wrapText="1"/>
    </xf>
    <xf numFmtId="0" fontId="37" fillId="24" borderId="105" xfId="0" applyFont="1" applyFill="1" applyBorder="1" applyAlignment="1">
      <alignment horizontal="center" vertical="center" wrapText="1"/>
    </xf>
    <xf numFmtId="0" fontId="37" fillId="24" borderId="58" xfId="0" applyFont="1" applyFill="1" applyBorder="1" applyAlignment="1">
      <alignment horizontal="center" vertical="center" wrapText="1"/>
    </xf>
    <xf numFmtId="0" fontId="37" fillId="24" borderId="106" xfId="0" applyFont="1" applyFill="1" applyBorder="1" applyAlignment="1">
      <alignment horizontal="center" vertical="center" wrapText="1"/>
    </xf>
    <xf numFmtId="0" fontId="37" fillId="24" borderId="57" xfId="0" applyFont="1" applyFill="1" applyBorder="1" applyAlignment="1">
      <alignment horizontal="center" vertical="center" wrapText="1"/>
    </xf>
    <xf numFmtId="0" fontId="37" fillId="24" borderId="107" xfId="0" applyFont="1" applyFill="1" applyBorder="1" applyAlignment="1">
      <alignment horizontal="center" vertical="center" wrapText="1"/>
    </xf>
    <xf numFmtId="0" fontId="37" fillId="24" borderId="108" xfId="0" applyFont="1" applyFill="1" applyBorder="1" applyAlignment="1">
      <alignment horizontal="center" vertical="center" wrapText="1"/>
    </xf>
    <xf numFmtId="0" fontId="37" fillId="24" borderId="109" xfId="0" applyFont="1" applyFill="1" applyBorder="1" applyAlignment="1">
      <alignment horizontal="center" vertical="center" wrapText="1"/>
    </xf>
    <xf numFmtId="0" fontId="37" fillId="24" borderId="55" xfId="0" applyFont="1" applyFill="1" applyBorder="1" applyAlignment="1">
      <alignment horizontal="center" vertical="center" wrapText="1"/>
    </xf>
    <xf numFmtId="0" fontId="37" fillId="24" borderId="62" xfId="0" applyFont="1" applyFill="1" applyBorder="1" applyAlignment="1">
      <alignment horizontal="center" vertical="center" wrapText="1"/>
    </xf>
    <xf numFmtId="0" fontId="37" fillId="24" borderId="56" xfId="0" applyFont="1" applyFill="1" applyBorder="1" applyAlignment="1">
      <alignment horizontal="center" vertical="center" wrapText="1"/>
    </xf>
    <xf numFmtId="0" fontId="37" fillId="24" borderId="63" xfId="0" applyFont="1" applyFill="1" applyBorder="1" applyAlignment="1">
      <alignment horizontal="center" vertical="center" wrapText="1"/>
    </xf>
    <xf numFmtId="0" fontId="37" fillId="24" borderId="54" xfId="0" applyFont="1" applyFill="1" applyBorder="1" applyAlignment="1">
      <alignment horizontal="center" vertical="center" wrapText="1"/>
    </xf>
    <xf numFmtId="0" fontId="37" fillId="24" borderId="61" xfId="0" applyFont="1" applyFill="1" applyBorder="1" applyAlignment="1">
      <alignment horizontal="center" vertical="center" wrapText="1"/>
    </xf>
    <xf numFmtId="0" fontId="37" fillId="0" borderId="103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05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104" xfId="0" applyFont="1" applyFill="1" applyBorder="1" applyAlignment="1">
      <alignment horizontal="center" vertical="center" wrapText="1"/>
    </xf>
    <xf numFmtId="0" fontId="37" fillId="0" borderId="106" xfId="0" applyFont="1" applyFill="1" applyBorder="1" applyAlignment="1">
      <alignment horizontal="center" vertical="center" wrapText="1"/>
    </xf>
    <xf numFmtId="0" fontId="37" fillId="0" borderId="107" xfId="0" applyFont="1" applyFill="1" applyBorder="1" applyAlignment="1">
      <alignment horizontal="center" vertical="center" wrapText="1"/>
    </xf>
    <xf numFmtId="0" fontId="37" fillId="0" borderId="108" xfId="0" applyFont="1" applyFill="1" applyBorder="1" applyAlignment="1">
      <alignment horizontal="center" vertical="center" wrapText="1"/>
    </xf>
    <xf numFmtId="0" fontId="37" fillId="0" borderId="109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17" borderId="35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 wrapText="1"/>
    </xf>
    <xf numFmtId="0" fontId="37" fillId="0" borderId="110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37" fillId="0" borderId="88" xfId="0" applyFont="1" applyFill="1" applyBorder="1" applyAlignment="1">
      <alignment horizontal="center" vertical="center" wrapText="1"/>
    </xf>
    <xf numFmtId="0" fontId="37" fillId="0" borderId="111" xfId="0" applyFont="1" applyFill="1" applyBorder="1" applyAlignment="1">
      <alignment horizontal="center" vertical="center" wrapText="1"/>
    </xf>
    <xf numFmtId="0" fontId="37" fillId="0" borderId="83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37" fillId="0" borderId="86" xfId="0" applyFont="1" applyFill="1" applyBorder="1" applyAlignment="1">
      <alignment horizontal="center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7" fillId="0" borderId="112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24" borderId="83" xfId="0" applyFont="1" applyFill="1" applyBorder="1" applyAlignment="1">
      <alignment horizontal="center" vertical="center" wrapText="1"/>
    </xf>
    <xf numFmtId="0" fontId="26" fillId="17" borderId="83" xfId="0" applyFont="1" applyFill="1" applyBorder="1" applyAlignment="1">
      <alignment horizontal="center" vertical="center" wrapText="1"/>
    </xf>
    <xf numFmtId="0" fontId="26" fillId="19" borderId="83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6" fillId="23" borderId="83" xfId="0" applyFont="1" applyFill="1" applyBorder="1" applyAlignment="1">
      <alignment horizontal="center" vertical="center" wrapText="1"/>
    </xf>
    <xf numFmtId="0" fontId="23" fillId="28" borderId="113" xfId="0" applyFont="1" applyFill="1" applyBorder="1" applyAlignment="1" applyProtection="1">
      <alignment horizontal="center" vertical="center"/>
      <protection locked="0"/>
    </xf>
    <xf numFmtId="0" fontId="23" fillId="28" borderId="79" xfId="0" applyFont="1" applyFill="1" applyBorder="1" applyAlignment="1" applyProtection="1">
      <alignment horizontal="center" vertical="center"/>
      <protection locked="0"/>
    </xf>
    <xf numFmtId="173" fontId="44" fillId="28" borderId="76" xfId="0" applyNumberFormat="1" applyFont="1" applyFill="1" applyBorder="1" applyAlignment="1" applyProtection="1">
      <alignment horizontal="center" vertical="center" wrapText="1"/>
      <protection locked="0"/>
    </xf>
    <xf numFmtId="173" fontId="44" fillId="28" borderId="45" xfId="0" applyNumberFormat="1" applyFont="1" applyFill="1" applyBorder="1" applyAlignment="1" applyProtection="1">
      <alignment horizontal="center" vertical="center" wrapText="1"/>
      <protection locked="0"/>
    </xf>
    <xf numFmtId="173" fontId="44" fillId="28" borderId="4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28" borderId="22" xfId="0" applyFont="1" applyFill="1" applyBorder="1" applyAlignment="1" applyProtection="1">
      <alignment horizontal="center" vertical="center"/>
      <protection locked="0"/>
    </xf>
    <xf numFmtId="0" fontId="23" fillId="28" borderId="24" xfId="0" applyFont="1" applyFill="1" applyBorder="1" applyAlignment="1" applyProtection="1">
      <alignment horizontal="center" vertical="center"/>
      <protection locked="0"/>
    </xf>
    <xf numFmtId="0" fontId="23" fillId="28" borderId="22" xfId="0" applyFont="1" applyFill="1" applyBorder="1" applyAlignment="1" applyProtection="1">
      <alignment horizontal="center" vertical="center" wrapText="1"/>
      <protection locked="0"/>
    </xf>
    <xf numFmtId="0" fontId="23" fillId="28" borderId="79" xfId="0" applyFont="1" applyFill="1" applyBorder="1" applyAlignment="1" applyProtection="1">
      <alignment horizontal="center" vertical="center" wrapText="1"/>
      <protection locked="0"/>
    </xf>
    <xf numFmtId="0" fontId="23" fillId="28" borderId="80" xfId="0" applyFont="1" applyFill="1" applyBorder="1" applyAlignment="1" applyProtection="1">
      <alignment horizontal="center" vertical="center" wrapText="1"/>
      <protection locked="0"/>
    </xf>
    <xf numFmtId="0" fontId="23" fillId="0" borderId="113" xfId="0" applyFont="1" applyFill="1" applyBorder="1" applyAlignment="1" applyProtection="1">
      <alignment horizontal="center" vertical="center"/>
      <protection locked="0"/>
    </xf>
    <xf numFmtId="0" fontId="23" fillId="0" borderId="79" xfId="0" applyFont="1" applyFill="1" applyBorder="1" applyAlignment="1" applyProtection="1">
      <alignment horizontal="center" vertical="center"/>
      <protection locked="0"/>
    </xf>
    <xf numFmtId="0" fontId="23" fillId="0" borderId="80" xfId="0" applyFont="1" applyFill="1" applyBorder="1" applyAlignment="1" applyProtection="1">
      <alignment horizontal="center" vertical="center"/>
      <protection locked="0"/>
    </xf>
    <xf numFmtId="0" fontId="23" fillId="22" borderId="13" xfId="0" applyFont="1" applyFill="1" applyBorder="1" applyAlignment="1" applyProtection="1">
      <alignment horizontal="center" vertical="center" wrapText="1"/>
      <protection locked="0"/>
    </xf>
    <xf numFmtId="0" fontId="27" fillId="19" borderId="0" xfId="0" applyFont="1" applyFill="1" applyAlignment="1" applyProtection="1">
      <alignment horizontal="center" vertical="center"/>
      <protection locked="0"/>
    </xf>
    <xf numFmtId="0" fontId="43" fillId="0" borderId="102" xfId="0" applyFont="1" applyFill="1" applyBorder="1" applyAlignment="1" applyProtection="1">
      <alignment horizontal="center" vertical="center" wrapText="1"/>
      <protection locked="0"/>
    </xf>
    <xf numFmtId="0" fontId="43" fillId="0" borderId="21" xfId="0" applyFont="1" applyFill="1" applyBorder="1" applyAlignment="1" applyProtection="1">
      <alignment horizontal="center" vertical="center" wrapText="1"/>
      <protection locked="0"/>
    </xf>
    <xf numFmtId="173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3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43" fillId="0" borderId="30" xfId="0" applyNumberFormat="1" applyFont="1" applyFill="1" applyBorder="1" applyAlignment="1" applyProtection="1">
      <alignment horizontal="center" vertical="center" wrapText="1"/>
      <protection locked="0"/>
    </xf>
    <xf numFmtId="173" fontId="43" fillId="28" borderId="12" xfId="0" applyNumberFormat="1" applyFont="1" applyFill="1" applyBorder="1" applyAlignment="1" applyProtection="1">
      <alignment horizontal="center" vertical="center" wrapText="1"/>
      <protection locked="0"/>
    </xf>
    <xf numFmtId="173" fontId="43" fillId="28" borderId="94" xfId="0" applyNumberFormat="1" applyFont="1" applyFill="1" applyBorder="1" applyAlignment="1" applyProtection="1">
      <alignment horizontal="center" vertical="center" wrapText="1"/>
      <protection locked="0"/>
    </xf>
    <xf numFmtId="173" fontId="43" fillId="28" borderId="13" xfId="0" applyNumberFormat="1" applyFont="1" applyFill="1" applyBorder="1" applyAlignment="1" applyProtection="1">
      <alignment horizontal="center" vertical="center" wrapText="1"/>
      <protection locked="0"/>
    </xf>
    <xf numFmtId="173" fontId="43" fillId="28" borderId="22" xfId="0" applyNumberFormat="1" applyFont="1" applyFill="1" applyBorder="1" applyAlignment="1" applyProtection="1">
      <alignment horizontal="center" vertical="center" wrapText="1"/>
      <protection locked="0"/>
    </xf>
    <xf numFmtId="173" fontId="23" fillId="28" borderId="101" xfId="0" applyNumberFormat="1" applyFont="1" applyFill="1" applyBorder="1" applyAlignment="1" applyProtection="1">
      <alignment horizontal="center" vertical="center" wrapText="1"/>
      <protection locked="0"/>
    </xf>
    <xf numFmtId="173" fontId="23" fillId="28" borderId="12" xfId="0" applyNumberFormat="1" applyFont="1" applyFill="1" applyBorder="1" applyAlignment="1" applyProtection="1">
      <alignment horizontal="center" vertical="center" wrapText="1"/>
      <protection locked="0"/>
    </xf>
    <xf numFmtId="173" fontId="23" fillId="28" borderId="24" xfId="0" applyNumberFormat="1" applyFont="1" applyFill="1" applyBorder="1" applyAlignment="1" applyProtection="1">
      <alignment horizontal="center" vertical="center" wrapText="1"/>
      <protection locked="0"/>
    </xf>
    <xf numFmtId="173" fontId="23" fillId="28" borderId="13" xfId="0" applyNumberFormat="1" applyFont="1" applyFill="1" applyBorder="1" applyAlignment="1" applyProtection="1">
      <alignment horizontal="center" vertical="center" wrapText="1"/>
      <protection locked="0"/>
    </xf>
    <xf numFmtId="173" fontId="43" fillId="0" borderId="45" xfId="0" applyNumberFormat="1" applyFont="1" applyFill="1" applyBorder="1" applyAlignment="1" applyProtection="1">
      <alignment horizontal="center" vertical="center" wrapText="1"/>
      <protection locked="0"/>
    </xf>
    <xf numFmtId="173" fontId="43" fillId="0" borderId="44" xfId="0" applyNumberFormat="1" applyFont="1" applyFill="1" applyBorder="1" applyAlignment="1" applyProtection="1">
      <alignment horizontal="center" vertical="center" wrapText="1"/>
      <protection locked="0"/>
    </xf>
    <xf numFmtId="173" fontId="45" fillId="28" borderId="69" xfId="0" applyNumberFormat="1" applyFont="1" applyFill="1" applyBorder="1" applyAlignment="1" applyProtection="1">
      <alignment horizontal="center" vertical="center" wrapText="1"/>
      <protection locked="0"/>
    </xf>
    <xf numFmtId="173" fontId="45" fillId="28" borderId="99" xfId="0" applyNumberFormat="1" applyFont="1" applyFill="1" applyBorder="1" applyAlignment="1" applyProtection="1">
      <alignment horizontal="center" vertical="center" wrapText="1"/>
      <protection locked="0"/>
    </xf>
    <xf numFmtId="173" fontId="45" fillId="28" borderId="95" xfId="0" applyNumberFormat="1" applyFont="1" applyFill="1" applyBorder="1" applyAlignment="1" applyProtection="1">
      <alignment horizontal="center" vertical="center" wrapText="1"/>
      <protection locked="0"/>
    </xf>
    <xf numFmtId="173" fontId="46" fillId="28" borderId="24" xfId="0" applyNumberFormat="1" applyFont="1" applyFill="1" applyBorder="1" applyAlignment="1" applyProtection="1">
      <alignment horizontal="center"/>
      <protection locked="0"/>
    </xf>
    <xf numFmtId="173" fontId="46" fillId="28" borderId="13" xfId="0" applyNumberFormat="1" applyFont="1" applyFill="1" applyBorder="1" applyAlignment="1" applyProtection="1">
      <alignment horizontal="center"/>
      <protection locked="0"/>
    </xf>
    <xf numFmtId="0" fontId="23" fillId="28" borderId="69" xfId="0" applyFont="1" applyFill="1" applyBorder="1" applyAlignment="1" applyProtection="1">
      <alignment horizontal="center" vertical="center" wrapText="1"/>
      <protection locked="0"/>
    </xf>
    <xf numFmtId="0" fontId="23" fillId="28" borderId="70" xfId="0" applyFont="1" applyFill="1" applyBorder="1" applyAlignment="1" applyProtection="1">
      <alignment horizontal="center" vertical="center" wrapText="1"/>
      <protection locked="0"/>
    </xf>
    <xf numFmtId="0" fontId="23" fillId="28" borderId="99" xfId="0" applyFont="1" applyFill="1" applyBorder="1" applyAlignment="1" applyProtection="1">
      <alignment horizontal="center" vertical="center" wrapText="1"/>
      <protection locked="0"/>
    </xf>
    <xf numFmtId="0" fontId="23" fillId="28" borderId="0" xfId="0" applyFont="1" applyFill="1" applyBorder="1" applyAlignment="1" applyProtection="1">
      <alignment horizontal="center" vertical="center" wrapText="1"/>
      <protection locked="0"/>
    </xf>
    <xf numFmtId="0" fontId="23" fillId="28" borderId="73" xfId="0" applyFont="1" applyFill="1" applyBorder="1" applyAlignment="1" applyProtection="1">
      <alignment horizontal="center" vertical="center" wrapText="1"/>
      <protection locked="0"/>
    </xf>
    <xf numFmtId="0" fontId="23" fillId="28" borderId="43" xfId="0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71" xfId="0" applyFont="1" applyFill="1" applyBorder="1" applyAlignment="1" applyProtection="1">
      <alignment horizontal="center" vertical="center" wrapText="1"/>
      <protection locked="0"/>
    </xf>
    <xf numFmtId="0" fontId="23" fillId="0" borderId="99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00" xfId="0" applyFont="1" applyFill="1" applyBorder="1" applyAlignment="1" applyProtection="1">
      <alignment horizontal="center" vertical="center" wrapText="1"/>
      <protection locked="0"/>
    </xf>
    <xf numFmtId="0" fontId="23" fillId="0" borderId="73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 applyProtection="1">
      <alignment horizontal="center" vertical="center" wrapText="1"/>
      <protection locked="0"/>
    </xf>
    <xf numFmtId="0" fontId="23" fillId="0" borderId="74" xfId="0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23" fillId="0" borderId="92" xfId="0" applyFont="1" applyFill="1" applyBorder="1" applyAlignment="1" applyProtection="1">
      <alignment horizontal="center" vertical="center" wrapText="1"/>
      <protection locked="0"/>
    </xf>
    <xf numFmtId="0" fontId="23" fillId="0" borderId="72" xfId="0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75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173" fontId="43" fillId="0" borderId="114" xfId="0" applyNumberFormat="1" applyFont="1" applyFill="1" applyBorder="1" applyAlignment="1" applyProtection="1">
      <alignment horizontal="center" vertical="center" wrapText="1"/>
      <protection locked="0"/>
    </xf>
    <xf numFmtId="173" fontId="43" fillId="28" borderId="21" xfId="0" applyNumberFormat="1" applyFont="1" applyFill="1" applyBorder="1" applyAlignment="1" applyProtection="1">
      <alignment horizontal="center" vertical="center" wrapText="1"/>
      <protection locked="0"/>
    </xf>
    <xf numFmtId="173" fontId="43" fillId="28" borderId="23" xfId="0" applyNumberFormat="1" applyFont="1" applyFill="1" applyBorder="1" applyAlignment="1" applyProtection="1">
      <alignment horizontal="center" vertical="center" wrapText="1"/>
      <protection locked="0"/>
    </xf>
    <xf numFmtId="0" fontId="26" fillId="23" borderId="83" xfId="0" applyFont="1" applyFill="1" applyBorder="1" applyAlignment="1">
      <alignment horizontal="center" vertical="center" wrapText="1"/>
    </xf>
    <xf numFmtId="168" fontId="30" fillId="23" borderId="83" xfId="0" applyNumberFormat="1" applyFont="1" applyFill="1" applyBorder="1" applyAlignment="1">
      <alignment/>
    </xf>
    <xf numFmtId="168" fontId="38" fillId="0" borderId="13" xfId="0" applyNumberFormat="1" applyFont="1" applyFill="1" applyBorder="1" applyAlignment="1">
      <alignment horizontal="center" vertical="center" wrapText="1"/>
    </xf>
    <xf numFmtId="168" fontId="38" fillId="0" borderId="13" xfId="0" applyNumberFormat="1" applyFont="1" applyBorder="1" applyAlignment="1">
      <alignment horizontal="center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бычный_tmp_2 кв. 2011 за полугодие  (2)" xfId="68"/>
    <cellStyle name="Обычный_tmp_2Сведения  по расходам поселений  за 2010 -11 г(для оценки)." xfId="69"/>
    <cellStyle name="Отдельная ячейка" xfId="70"/>
    <cellStyle name="Отдельная ячейка - константа" xfId="71"/>
    <cellStyle name="Отдельная ячейка - константа [печать]" xfId="72"/>
    <cellStyle name="Отдельная ячейка [печать]" xfId="73"/>
    <cellStyle name="Отдельная ячейка-результат" xfId="74"/>
    <cellStyle name="Отдельная ячейка-результат [печать]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ойства элементов измерения" xfId="81"/>
    <cellStyle name="Свойства элементов измерения [печать]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  <cellStyle name="Элементы осей" xfId="88"/>
    <cellStyle name="Элементы осей [печать]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2013 год</a:t>
            </a:r>
          </a:p>
        </c:rich>
      </c:tx>
      <c:layout>
        <c:manualLayout>
          <c:xMode val="factor"/>
          <c:yMode val="factor"/>
          <c:x val="-0.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425"/>
          <c:w val="0.81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21.8"/>
            <c:dispEq val="0"/>
            <c:dispRSqr val="0"/>
          </c:trendline>
          <c:cat>
            <c:strRef>
              <c:f>'ИТОГ на 1.01.2014'!$B$8:$B$31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1.01.2014'!$C$8:$C$31</c:f>
              <c:numCache>
                <c:ptCount val="24"/>
                <c:pt idx="0">
                  <c:v>20.3009034855816</c:v>
                </c:pt>
                <c:pt idx="1">
                  <c:v>20.94788285343631</c:v>
                </c:pt>
                <c:pt idx="2">
                  <c:v>22.89823777907702</c:v>
                </c:pt>
                <c:pt idx="3">
                  <c:v>23.68286464453358</c:v>
                </c:pt>
                <c:pt idx="4">
                  <c:v>20.727964560599766</c:v>
                </c:pt>
                <c:pt idx="5">
                  <c:v>21.324641060239564</c:v>
                </c:pt>
                <c:pt idx="6">
                  <c:v>22.201410392222645</c:v>
                </c:pt>
                <c:pt idx="7">
                  <c:v>19.83964054628982</c:v>
                </c:pt>
                <c:pt idx="8">
                  <c:v>22.354608989794855</c:v>
                </c:pt>
                <c:pt idx="9">
                  <c:v>22.28579767269808</c:v>
                </c:pt>
                <c:pt idx="10">
                  <c:v>21.28406506910028</c:v>
                </c:pt>
                <c:pt idx="11">
                  <c:v>23.200326869018454</c:v>
                </c:pt>
                <c:pt idx="12">
                  <c:v>21.197252457964836</c:v>
                </c:pt>
                <c:pt idx="13">
                  <c:v>21.545696582639835</c:v>
                </c:pt>
                <c:pt idx="14">
                  <c:v>22.12619982637446</c:v>
                </c:pt>
                <c:pt idx="15">
                  <c:v>22.003913579326042</c:v>
                </c:pt>
                <c:pt idx="16">
                  <c:v>20.75320703499068</c:v>
                </c:pt>
                <c:pt idx="17">
                  <c:v>19.740985861303372</c:v>
                </c:pt>
                <c:pt idx="18">
                  <c:v>21.97765124385201</c:v>
                </c:pt>
                <c:pt idx="19">
                  <c:v>24.399098082404016</c:v>
                </c:pt>
                <c:pt idx="20">
                  <c:v>23.126098926315844</c:v>
                </c:pt>
                <c:pt idx="21">
                  <c:v>20.244699851664663</c:v>
                </c:pt>
                <c:pt idx="22">
                  <c:v>21.894669014050322</c:v>
                </c:pt>
                <c:pt idx="23">
                  <c:v>23.403887077031523</c:v>
                </c:pt>
              </c:numCache>
            </c:numRef>
          </c:val>
        </c:ser>
        <c:axId val="6717159"/>
        <c:axId val="60454432"/>
      </c:barChart>
      <c:catAx>
        <c:axId val="6717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1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325"/>
          <c:w val="0.97525"/>
          <c:h val="0.7692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01.01.2014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'!$F$2:$F$25</c:f>
              <c:numCache>
                <c:ptCount val="24"/>
                <c:pt idx="0">
                  <c:v>24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7</c:v>
                </c:pt>
                <c:pt idx="5">
                  <c:v>23</c:v>
                </c:pt>
                <c:pt idx="6">
                  <c:v>10</c:v>
                </c:pt>
                <c:pt idx="7">
                  <c:v>18</c:v>
                </c:pt>
                <c:pt idx="8">
                  <c:v>2</c:v>
                </c:pt>
                <c:pt idx="9">
                  <c:v>22</c:v>
                </c:pt>
                <c:pt idx="10">
                  <c:v>14</c:v>
                </c:pt>
                <c:pt idx="11">
                  <c:v>17</c:v>
                </c:pt>
                <c:pt idx="12">
                  <c:v>6</c:v>
                </c:pt>
                <c:pt idx="13">
                  <c:v>16</c:v>
                </c:pt>
                <c:pt idx="14">
                  <c:v>8</c:v>
                </c:pt>
                <c:pt idx="15">
                  <c:v>1</c:v>
                </c:pt>
                <c:pt idx="16">
                  <c:v>19</c:v>
                </c:pt>
                <c:pt idx="17">
                  <c:v>21</c:v>
                </c:pt>
                <c:pt idx="18">
                  <c:v>13</c:v>
                </c:pt>
                <c:pt idx="19">
                  <c:v>12</c:v>
                </c:pt>
                <c:pt idx="20">
                  <c:v>3</c:v>
                </c:pt>
                <c:pt idx="21">
                  <c:v>11</c:v>
                </c:pt>
                <c:pt idx="22">
                  <c:v>15</c:v>
                </c:pt>
                <c:pt idx="23">
                  <c:v>5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01.01.2013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'!$E$2:$E$25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7218977"/>
        <c:axId val="64970794"/>
      </c:lineChart>
      <c:catAx>
        <c:axId val="721897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18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475"/>
          <c:y val="0.9515"/>
          <c:w val="0.474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Результаты проведения оценки качества организации и осуществления бюджетного процесса в сельских (городском) поселениях Омского муниципального района Омской области за 1 полугодие 2014 года</a:t>
            </a:r>
          </a:p>
        </c:rich>
      </c:tx>
      <c:layout>
        <c:manualLayout>
          <c:xMode val="factor"/>
          <c:yMode val="factor"/>
          <c:x val="-0.013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425"/>
          <c:w val="0.81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FF0000"/>
                </a:solidFill>
                <a:prstDash val="dash"/>
              </a:ln>
            </c:spPr>
            <c:trendlineType val="linear"/>
            <c:forward val="0.5"/>
            <c:backward val="0.5"/>
            <c:intercept val="16.5"/>
            <c:dispEq val="0"/>
            <c:dispRSqr val="0"/>
          </c:trendline>
          <c:cat>
            <c:strRef>
              <c:f>'ИТОГ на 1.07.2014'!$B$8:$B$31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'ИТОГ на 1.07.2014'!$C$8:$C$31</c:f>
              <c:numCache>
                <c:ptCount val="24"/>
                <c:pt idx="0">
                  <c:v>13.99241799832264</c:v>
                </c:pt>
                <c:pt idx="1">
                  <c:v>16.182251075872436</c:v>
                </c:pt>
                <c:pt idx="2">
                  <c:v>16.18014248977762</c:v>
                </c:pt>
                <c:pt idx="3">
                  <c:v>17.305603604563466</c:v>
                </c:pt>
                <c:pt idx="4">
                  <c:v>17.292307988657782</c:v>
                </c:pt>
                <c:pt idx="5">
                  <c:v>14.675751201765692</c:v>
                </c:pt>
                <c:pt idx="6">
                  <c:v>14.980848521100674</c:v>
                </c:pt>
                <c:pt idx="7">
                  <c:v>16.767141507242364</c:v>
                </c:pt>
                <c:pt idx="8">
                  <c:v>18.035115678942546</c:v>
                </c:pt>
                <c:pt idx="9">
                  <c:v>15.189283735699604</c:v>
                </c:pt>
                <c:pt idx="10">
                  <c:v>17.334396327695796</c:v>
                </c:pt>
                <c:pt idx="11">
                  <c:v>17.405917296718997</c:v>
                </c:pt>
                <c:pt idx="12">
                  <c:v>17.381448241790775</c:v>
                </c:pt>
                <c:pt idx="13">
                  <c:v>17.33917252044047</c:v>
                </c:pt>
                <c:pt idx="14">
                  <c:v>14.524929802732213</c:v>
                </c:pt>
                <c:pt idx="15">
                  <c:v>18.909516345794028</c:v>
                </c:pt>
                <c:pt idx="16">
                  <c:v>16.115280171561817</c:v>
                </c:pt>
                <c:pt idx="17">
                  <c:v>15.76142283286861</c:v>
                </c:pt>
                <c:pt idx="18">
                  <c:v>16.060094354432838</c:v>
                </c:pt>
                <c:pt idx="19">
                  <c:v>16.71282122593898</c:v>
                </c:pt>
                <c:pt idx="20">
                  <c:v>17.921007092286775</c:v>
                </c:pt>
                <c:pt idx="21">
                  <c:v>15.821000198845306</c:v>
                </c:pt>
                <c:pt idx="22">
                  <c:v>17.084446100239532</c:v>
                </c:pt>
                <c:pt idx="23">
                  <c:v>18.85705837932136</c:v>
                </c:pt>
              </c:numCache>
            </c:numRef>
          </c:val>
        </c:ser>
        <c:axId val="47866235"/>
        <c:axId val="28142932"/>
      </c:bar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66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уровня качества организации и осуществления бюджетного процесса в сельских (городском) поселениях Омского муниципального района Омской области 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325"/>
          <c:w val="0.975"/>
          <c:h val="0.76925"/>
        </c:manualLayout>
      </c:layout>
      <c:lineChart>
        <c:grouping val="standard"/>
        <c:varyColors val="0"/>
        <c:ser>
          <c:idx val="1"/>
          <c:order val="0"/>
          <c:tx>
            <c:v>место в рейтинге на 01.07.2014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 (2)'!$B$2:$B$25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 (2)'!$F$2:$F$25</c:f>
              <c:numCache>
                <c:ptCount val="24"/>
                <c:pt idx="0">
                  <c:v>22</c:v>
                </c:pt>
                <c:pt idx="1">
                  <c:v>12</c:v>
                </c:pt>
                <c:pt idx="2">
                  <c:v>13</c:v>
                </c:pt>
                <c:pt idx="3">
                  <c:v>7</c:v>
                </c:pt>
                <c:pt idx="4">
                  <c:v>8</c:v>
                </c:pt>
                <c:pt idx="5">
                  <c:v>20</c:v>
                </c:pt>
                <c:pt idx="6">
                  <c:v>19</c:v>
                </c:pt>
                <c:pt idx="7">
                  <c:v>10</c:v>
                </c:pt>
                <c:pt idx="8">
                  <c:v>1</c:v>
                </c:pt>
                <c:pt idx="9">
                  <c:v>18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21</c:v>
                </c:pt>
                <c:pt idx="15">
                  <c:v>1</c:v>
                </c:pt>
                <c:pt idx="16">
                  <c:v>14</c:v>
                </c:pt>
                <c:pt idx="17">
                  <c:v>17</c:v>
                </c:pt>
                <c:pt idx="18">
                  <c:v>15</c:v>
                </c:pt>
                <c:pt idx="19">
                  <c:v>11</c:v>
                </c:pt>
                <c:pt idx="20">
                  <c:v>2</c:v>
                </c:pt>
                <c:pt idx="21">
                  <c:v>16</c:v>
                </c:pt>
                <c:pt idx="22">
                  <c:v>9</c:v>
                </c:pt>
                <c:pt idx="23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v>место в рейтинге на 01.01.2014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'Снижение -повышение  (2)'!$B$2:$B$25</c:f>
              <c:strCache>
                <c:ptCount val="24"/>
                <c:pt idx="0">
                  <c:v>Андреевское </c:v>
                </c:pt>
                <c:pt idx="1">
                  <c:v>Ачаирское </c:v>
                </c:pt>
                <c:pt idx="2">
                  <c:v>Богословское </c:v>
                </c:pt>
                <c:pt idx="3">
                  <c:v>Дружинское</c:v>
                </c:pt>
                <c:pt idx="4">
                  <c:v>Иртышское </c:v>
                </c:pt>
                <c:pt idx="5">
                  <c:v>Калининское </c:v>
                </c:pt>
                <c:pt idx="6">
                  <c:v>Ключевское</c:v>
                </c:pt>
                <c:pt idx="7">
                  <c:v>Комсомольское </c:v>
                </c:pt>
                <c:pt idx="8">
                  <c:v>Красноярское </c:v>
                </c:pt>
                <c:pt idx="9">
                  <c:v>Лузинское </c:v>
                </c:pt>
                <c:pt idx="10">
                  <c:v>Магистральное </c:v>
                </c:pt>
                <c:pt idx="11">
                  <c:v>Морозовское </c:v>
                </c:pt>
                <c:pt idx="12">
                  <c:v>Надеждинское </c:v>
                </c:pt>
                <c:pt idx="13">
                  <c:v>Новоомское </c:v>
                </c:pt>
                <c:pt idx="14">
                  <c:v>Новотроицкое </c:v>
                </c:pt>
                <c:pt idx="15">
                  <c:v>Омское </c:v>
                </c:pt>
                <c:pt idx="16">
                  <c:v>Петровское </c:v>
                </c:pt>
                <c:pt idx="17">
                  <c:v>Покровское </c:v>
                </c:pt>
                <c:pt idx="18">
                  <c:v>Пушкинское </c:v>
                </c:pt>
                <c:pt idx="19">
                  <c:v>Розовское </c:v>
                </c:pt>
                <c:pt idx="20">
                  <c:v>Ростовкинское </c:v>
                </c:pt>
                <c:pt idx="21">
                  <c:v>Троицкое </c:v>
                </c:pt>
                <c:pt idx="22">
                  <c:v>Усть-Заостровское </c:v>
                </c:pt>
                <c:pt idx="23">
                  <c:v>Чернолучинское </c:v>
                </c:pt>
              </c:strCache>
            </c:strRef>
          </c:cat>
          <c:val>
            <c:numRef>
              <c:f>'Снижение -повышение  (2)'!$E$2:$E$25</c:f>
              <c:numCache>
                <c:ptCount val="24"/>
                <c:pt idx="0">
                  <c:v>17</c:v>
                </c:pt>
                <c:pt idx="1">
                  <c:v>21</c:v>
                </c:pt>
                <c:pt idx="2">
                  <c:v>19</c:v>
                </c:pt>
                <c:pt idx="3">
                  <c:v>2</c:v>
                </c:pt>
                <c:pt idx="4">
                  <c:v>16</c:v>
                </c:pt>
                <c:pt idx="5">
                  <c:v>14</c:v>
                </c:pt>
                <c:pt idx="6">
                  <c:v>8</c:v>
                </c:pt>
                <c:pt idx="7">
                  <c:v>23</c:v>
                </c:pt>
                <c:pt idx="8">
                  <c:v>6</c:v>
                </c:pt>
                <c:pt idx="9">
                  <c:v>7</c:v>
                </c:pt>
                <c:pt idx="10">
                  <c:v>20</c:v>
                </c:pt>
                <c:pt idx="11">
                  <c:v>4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10</c:v>
                </c:pt>
                <c:pt idx="16">
                  <c:v>22</c:v>
                </c:pt>
                <c:pt idx="17">
                  <c:v>24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18</c:v>
                </c:pt>
                <c:pt idx="22">
                  <c:v>12</c:v>
                </c:pt>
                <c:pt idx="23">
                  <c:v>3</c:v>
                </c:pt>
              </c:numCache>
            </c:numRef>
          </c:val>
          <c:smooth val="0"/>
        </c:ser>
        <c:marker val="1"/>
        <c:axId val="51959797"/>
        <c:axId val="64984990"/>
      </c:lineChart>
      <c:catAx>
        <c:axId val="519597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59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4"/>
          <c:y val="0.9515"/>
          <c:w val="0.474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5" right="0.75" top="1" bottom="1" header="0.5" footer="0.5"/>
  <pageSetup horizontalDpi="600" verticalDpi="600" orientation="landscape" paperSize="9"/>
  <headerFoot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0.2555</cdr:y>
    </cdr:from>
    <cdr:to>
      <cdr:x>0.99125</cdr:x>
      <cdr:y>0.342</cdr:y>
    </cdr:to>
    <cdr:sp>
      <cdr:nvSpPr>
        <cdr:cNvPr id="1" name="Text Box 1"/>
        <cdr:cNvSpPr txBox="1">
          <a:spLocks noChangeArrowheads="1"/>
        </cdr:cNvSpPr>
      </cdr:nvSpPr>
      <cdr:spPr>
        <a:xfrm>
          <a:off x="8362950" y="1457325"/>
          <a:ext cx="8572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21,8</a:t>
          </a:r>
        </a:p>
      </cdr:txBody>
    </cdr:sp>
  </cdr:relSizeAnchor>
  <cdr:relSizeAnchor xmlns:cdr="http://schemas.openxmlformats.org/drawingml/2006/chartDrawing">
    <cdr:from>
      <cdr:x>0.04175</cdr:x>
      <cdr:y>0.403</cdr:y>
    </cdr:from>
    <cdr:to>
      <cdr:x>0.067</cdr:x>
      <cdr:y>0.52075</cdr:y>
    </cdr:to>
    <cdr:sp>
      <cdr:nvSpPr>
        <cdr:cNvPr id="2" name="Rectangle 2"/>
        <cdr:cNvSpPr>
          <a:spLocks/>
        </cdr:cNvSpPr>
      </cdr:nvSpPr>
      <cdr:spPr>
        <a:xfrm>
          <a:off x="381000" y="2295525"/>
          <a:ext cx="23812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0.326</cdr:y>
    </cdr:from>
    <cdr:to>
      <cdr:x>0.99125</cdr:x>
      <cdr:y>0.41225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8362950" y="1857375"/>
          <a:ext cx="8572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Средняя оценка: 16,6</a:t>
          </a:r>
        </a:p>
      </cdr:txBody>
    </cdr:sp>
  </cdr:relSizeAnchor>
  <cdr:relSizeAnchor xmlns:cdr="http://schemas.openxmlformats.org/drawingml/2006/chartDrawing">
    <cdr:from>
      <cdr:x>0.04175</cdr:x>
      <cdr:y>0.403</cdr:y>
    </cdr:from>
    <cdr:to>
      <cdr:x>0.067</cdr:x>
      <cdr:y>0.52075</cdr:y>
    </cdr:to>
    <cdr:sp>
      <cdr:nvSpPr>
        <cdr:cNvPr id="2" name="Rectangle 2"/>
        <cdr:cNvSpPr>
          <a:spLocks/>
        </cdr:cNvSpPr>
      </cdr:nvSpPr>
      <cdr:spPr>
        <a:xfrm>
          <a:off x="381000" y="2295525"/>
          <a:ext cx="238125" cy="6762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Баллы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" name="WordArt 1"/>
        <xdr:cNvSpPr>
          <a:spLocks/>
        </xdr:cNvSpPr>
      </xdr:nvSpPr>
      <xdr:spPr>
        <a:xfrm>
          <a:off x="28575" y="4638675"/>
          <a:ext cx="2952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Доля в процентах  муниципальных образований в фонде финансовой поддержки (трансферт)</a:t>
          </a:r>
        </a:p>
      </xdr:txBody>
    </xdr:sp>
    <xdr:clientData/>
  </xdr:twoCellAnchor>
  <xdr:twoCellAnchor>
    <xdr:from>
      <xdr:col>0</xdr:col>
      <xdr:colOff>28575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" name="WordArt 2"/>
        <xdr:cNvSpPr>
          <a:spLocks/>
        </xdr:cNvSpPr>
      </xdr:nvSpPr>
      <xdr:spPr>
        <a:xfrm>
          <a:off x="28575" y="4638675"/>
          <a:ext cx="2952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Доля в процентах  муниципальных образований в фонде финансовой поддержки (трансферт)</a:t>
          </a:r>
        </a:p>
      </xdr:txBody>
    </xdr:sp>
    <xdr:clientData/>
  </xdr:twoCellAnchor>
  <xdr:twoCellAnchor>
    <xdr:from>
      <xdr:col>0</xdr:col>
      <xdr:colOff>28575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" name="WordArt 3"/>
        <xdr:cNvSpPr>
          <a:spLocks/>
        </xdr:cNvSpPr>
      </xdr:nvSpPr>
      <xdr:spPr>
        <a:xfrm>
          <a:off x="28575" y="4638675"/>
          <a:ext cx="2952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Доля в процентах  муниципальных образований в фонде финансовой поддержки (трансферт)</a:t>
          </a:r>
        </a:p>
      </xdr:txBody>
    </xdr:sp>
    <xdr:clientData/>
  </xdr:twoCellAnchor>
  <xdr:twoCellAnchor>
    <xdr:from>
      <xdr:col>0</xdr:col>
      <xdr:colOff>28575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4" name="WordArt 4"/>
        <xdr:cNvSpPr>
          <a:spLocks/>
        </xdr:cNvSpPr>
      </xdr:nvSpPr>
      <xdr:spPr>
        <a:xfrm>
          <a:off x="28575" y="4638675"/>
          <a:ext cx="2952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"/>
              <a:cs typeface="Arial"/>
            </a:rPr>
            <a:t>Доля в процентах  муниципальных образований в фонде финансовой поддержки (трансферт)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99"/>
  <sheetViews>
    <sheetView view="pageBreakPreview" zoomScale="70" zoomScaleNormal="90" zoomScaleSheetLayoutView="70" zoomScalePageLayoutView="0" workbookViewId="0" topLeftCell="A4">
      <pane xSplit="2" ySplit="6" topLeftCell="DS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O21" sqref="EO21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99" width="11.375" style="3" customWidth="1"/>
    <col min="100" max="100" width="13.75390625" style="3" customWidth="1"/>
    <col min="101" max="101" width="9.75390625" style="3" customWidth="1"/>
    <col min="102" max="102" width="17.00390625" style="3" customWidth="1"/>
    <col min="103" max="103" width="9.875" style="3" customWidth="1"/>
    <col min="104" max="104" width="13.00390625" style="3" customWidth="1"/>
    <col min="105" max="105" width="9.375" style="3" customWidth="1"/>
    <col min="106" max="106" width="14.375" style="3" customWidth="1"/>
    <col min="107" max="107" width="10.00390625" style="3" customWidth="1"/>
    <col min="108" max="108" width="13.75390625" style="3" bestFit="1" customWidth="1"/>
    <col min="109" max="109" width="10.25390625" style="3" customWidth="1"/>
    <col min="110" max="110" width="14.00390625" style="3" customWidth="1"/>
    <col min="111" max="111" width="15.875" style="3" customWidth="1"/>
    <col min="112" max="112" width="9.625" style="3" customWidth="1"/>
    <col min="113" max="113" width="11.625" style="3" customWidth="1"/>
    <col min="114" max="114" width="13.75390625" style="3" bestFit="1" customWidth="1"/>
    <col min="115" max="115" width="9.375" style="3" bestFit="1" customWidth="1"/>
    <col min="116" max="116" width="12.875" style="3" customWidth="1"/>
    <col min="117" max="117" width="9.375" style="3" bestFit="1" customWidth="1"/>
    <col min="118" max="118" width="15.875" style="3" customWidth="1"/>
    <col min="119" max="119" width="11.75390625" style="3" customWidth="1"/>
    <col min="120" max="120" width="14.75390625" style="3" customWidth="1"/>
    <col min="121" max="121" width="11.25390625" style="3" customWidth="1"/>
    <col min="122" max="122" width="15.625" style="3" customWidth="1"/>
    <col min="123" max="123" width="12.375" style="3" customWidth="1"/>
    <col min="124" max="124" width="0.12890625" style="3" customWidth="1"/>
    <col min="125" max="125" width="13.75390625" style="3" customWidth="1"/>
    <col min="126" max="126" width="12.375" style="3" customWidth="1"/>
    <col min="127" max="127" width="7.75390625" style="3" hidden="1" customWidth="1"/>
    <col min="128" max="128" width="12.00390625" style="3" bestFit="1" customWidth="1"/>
    <col min="129" max="129" width="9.375" style="3" customWidth="1"/>
    <col min="130" max="130" width="0.12890625" style="3" hidden="1" customWidth="1"/>
    <col min="131" max="131" width="12.875" style="3" customWidth="1"/>
    <col min="132" max="132" width="13.25390625" style="3" customWidth="1"/>
    <col min="133" max="133" width="11.00390625" style="3" hidden="1" customWidth="1"/>
    <col min="134" max="134" width="16.125" style="3" customWidth="1"/>
    <col min="135" max="135" width="9.625" style="3" customWidth="1"/>
    <col min="136" max="136" width="9.375" style="3" hidden="1" customWidth="1"/>
    <col min="137" max="137" width="14.25390625" style="3" customWidth="1"/>
    <col min="138" max="138" width="15.625" style="3" customWidth="1"/>
    <col min="139" max="139" width="8.00390625" style="3" hidden="1" customWidth="1"/>
    <col min="140" max="140" width="7.75390625" style="3" hidden="1" customWidth="1"/>
    <col min="141" max="141" width="7.00390625" style="3" hidden="1" customWidth="1"/>
    <col min="142" max="142" width="0.37109375" style="3" customWidth="1"/>
    <col min="143" max="143" width="11.75390625" style="3" hidden="1" customWidth="1"/>
    <col min="144" max="144" width="22.25390625" style="3" customWidth="1"/>
    <col min="145" max="145" width="17.875" style="3" customWidth="1"/>
    <col min="146" max="146" width="13.875" style="3" customWidth="1"/>
    <col min="147" max="147" width="24.125" style="3" customWidth="1"/>
    <col min="148" max="148" width="16.125" style="3" bestFit="1" customWidth="1"/>
    <col min="149" max="16384" width="9.125" style="3" customWidth="1"/>
  </cols>
  <sheetData>
    <row r="2" spans="2:143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:143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7" ht="15.75" customHeight="1">
      <c r="A4" s="879" t="s">
        <v>1</v>
      </c>
      <c r="B4" s="880" t="s">
        <v>2</v>
      </c>
      <c r="C4" s="852" t="s">
        <v>3</v>
      </c>
      <c r="D4" s="861"/>
      <c r="E4" s="852" t="s">
        <v>4</v>
      </c>
      <c r="F4" s="865"/>
      <c r="G4" s="793" t="s">
        <v>5</v>
      </c>
      <c r="H4" s="849"/>
      <c r="I4" s="849"/>
      <c r="J4" s="776"/>
      <c r="K4" s="852" t="s">
        <v>6</v>
      </c>
      <c r="L4" s="849"/>
      <c r="M4" s="849"/>
      <c r="N4" s="861"/>
      <c r="O4" s="852" t="s">
        <v>7</v>
      </c>
      <c r="P4" s="849"/>
      <c r="Q4" s="849"/>
      <c r="R4" s="861"/>
      <c r="S4" s="852" t="s">
        <v>8</v>
      </c>
      <c r="T4" s="849"/>
      <c r="U4" s="849"/>
      <c r="V4" s="861"/>
      <c r="W4" s="852" t="s">
        <v>9</v>
      </c>
      <c r="X4" s="849"/>
      <c r="Y4" s="849"/>
      <c r="Z4" s="861"/>
      <c r="AA4" s="852" t="s">
        <v>150</v>
      </c>
      <c r="AB4" s="849"/>
      <c r="AC4" s="849"/>
      <c r="AD4" s="861"/>
      <c r="AE4" s="852" t="s">
        <v>10</v>
      </c>
      <c r="AF4" s="849"/>
      <c r="AG4" s="849"/>
      <c r="AH4" s="849"/>
      <c r="AI4" s="861"/>
      <c r="AJ4" s="852" t="s">
        <v>11</v>
      </c>
      <c r="AK4" s="849"/>
      <c r="AL4" s="849"/>
      <c r="AM4" s="776"/>
      <c r="AN4" s="792" t="s">
        <v>12</v>
      </c>
      <c r="AO4" s="792"/>
      <c r="AP4" s="792"/>
      <c r="AQ4" s="792"/>
      <c r="AR4" s="5"/>
      <c r="AS4" s="5"/>
      <c r="AT4" s="849" t="s">
        <v>13</v>
      </c>
      <c r="AU4" s="849"/>
      <c r="AV4" s="849"/>
      <c r="AW4" s="849"/>
      <c r="AX4" s="849" t="s">
        <v>14</v>
      </c>
      <c r="AY4" s="849"/>
      <c r="AZ4" s="849"/>
      <c r="BA4" s="849"/>
      <c r="BB4" s="849"/>
      <c r="BC4" s="781" t="s">
        <v>15</v>
      </c>
      <c r="BD4" s="781"/>
      <c r="BE4" s="781"/>
      <c r="BF4" s="781"/>
      <c r="BG4" s="6"/>
      <c r="BH4" s="7"/>
      <c r="BI4" s="7"/>
      <c r="BJ4" s="849" t="s">
        <v>16</v>
      </c>
      <c r="BK4" s="849"/>
      <c r="BL4" s="849"/>
      <c r="BM4" s="849"/>
      <c r="BN4" s="849" t="s">
        <v>17</v>
      </c>
      <c r="BO4" s="849"/>
      <c r="BP4" s="849"/>
      <c r="BQ4" s="849"/>
      <c r="BR4" s="849"/>
      <c r="BS4" s="886" t="s">
        <v>18</v>
      </c>
      <c r="BT4" s="886"/>
      <c r="BU4" s="886"/>
      <c r="BV4" s="849" t="s">
        <v>19</v>
      </c>
      <c r="BW4" s="776"/>
      <c r="BX4" s="852" t="s">
        <v>20</v>
      </c>
      <c r="BY4" s="849"/>
      <c r="BZ4" s="849"/>
      <c r="CA4" s="849"/>
      <c r="CB4" s="849"/>
      <c r="CC4" s="849"/>
      <c r="CD4" s="849"/>
      <c r="CE4" s="849"/>
      <c r="CF4" s="849"/>
      <c r="CG4" s="849"/>
      <c r="CH4" s="849"/>
      <c r="CI4" s="849"/>
      <c r="CJ4" s="849"/>
      <c r="CK4" s="849"/>
      <c r="CL4" s="849"/>
      <c r="CM4" s="861"/>
      <c r="CN4" s="793" t="s">
        <v>21</v>
      </c>
      <c r="CO4" s="849"/>
      <c r="CP4" s="849"/>
      <c r="CQ4" s="849"/>
      <c r="CR4" s="849"/>
      <c r="CS4" s="849"/>
      <c r="CT4" s="849"/>
      <c r="CU4" s="849"/>
      <c r="CV4" s="849"/>
      <c r="CW4" s="849"/>
      <c r="CX4" s="849"/>
      <c r="CY4" s="849"/>
      <c r="CZ4" s="849"/>
      <c r="DA4" s="776"/>
      <c r="DB4" s="852" t="s">
        <v>22</v>
      </c>
      <c r="DC4" s="849"/>
      <c r="DD4" s="849"/>
      <c r="DE4" s="849"/>
      <c r="DF4" s="849"/>
      <c r="DG4" s="849"/>
      <c r="DH4" s="849"/>
      <c r="DI4" s="849"/>
      <c r="DJ4" s="849"/>
      <c r="DK4" s="849"/>
      <c r="DL4" s="849"/>
      <c r="DM4" s="861"/>
      <c r="DN4" s="852" t="s">
        <v>23</v>
      </c>
      <c r="DO4" s="861"/>
      <c r="DP4" s="852" t="s">
        <v>24</v>
      </c>
      <c r="DQ4" s="861"/>
      <c r="DR4" s="793" t="s">
        <v>25</v>
      </c>
      <c r="DS4" s="776"/>
      <c r="DT4" s="849" t="s">
        <v>26</v>
      </c>
      <c r="DU4" s="849"/>
      <c r="DV4" s="861"/>
      <c r="DW4" s="852" t="s">
        <v>27</v>
      </c>
      <c r="DX4" s="849"/>
      <c r="DY4" s="861"/>
      <c r="DZ4" s="793" t="s">
        <v>28</v>
      </c>
      <c r="EA4" s="849"/>
      <c r="EB4" s="849"/>
      <c r="EC4" s="849" t="s">
        <v>29</v>
      </c>
      <c r="ED4" s="849"/>
      <c r="EE4" s="849"/>
      <c r="EF4" s="849" t="s">
        <v>30</v>
      </c>
      <c r="EG4" s="849"/>
      <c r="EH4" s="776"/>
      <c r="EI4" s="852" t="s">
        <v>31</v>
      </c>
      <c r="EJ4" s="849"/>
      <c r="EK4" s="861"/>
      <c r="EL4" s="787" t="s">
        <v>160</v>
      </c>
      <c r="EM4" s="788"/>
      <c r="EN4" s="852" t="s">
        <v>32</v>
      </c>
      <c r="EO4" s="849"/>
      <c r="EP4" s="849"/>
      <c r="EQ4" s="861"/>
    </row>
    <row r="5" spans="1:147" s="11" customFormat="1" ht="15.75">
      <c r="A5" s="866"/>
      <c r="B5" s="881"/>
      <c r="C5" s="862"/>
      <c r="D5" s="863"/>
      <c r="E5" s="866"/>
      <c r="F5" s="867"/>
      <c r="G5" s="769"/>
      <c r="H5" s="850"/>
      <c r="I5" s="850"/>
      <c r="J5" s="770"/>
      <c r="K5" s="862"/>
      <c r="L5" s="850"/>
      <c r="M5" s="850"/>
      <c r="N5" s="863"/>
      <c r="O5" s="862"/>
      <c r="P5" s="850"/>
      <c r="Q5" s="850"/>
      <c r="R5" s="863"/>
      <c r="S5" s="862"/>
      <c r="T5" s="850"/>
      <c r="U5" s="850"/>
      <c r="V5" s="863"/>
      <c r="W5" s="862"/>
      <c r="X5" s="850"/>
      <c r="Y5" s="850"/>
      <c r="Z5" s="863"/>
      <c r="AA5" s="862"/>
      <c r="AB5" s="850"/>
      <c r="AC5" s="850"/>
      <c r="AD5" s="863"/>
      <c r="AE5" s="862"/>
      <c r="AF5" s="850"/>
      <c r="AG5" s="850"/>
      <c r="AH5" s="850"/>
      <c r="AI5" s="863"/>
      <c r="AJ5" s="862"/>
      <c r="AK5" s="850"/>
      <c r="AL5" s="850"/>
      <c r="AM5" s="770"/>
      <c r="AN5" s="870"/>
      <c r="AO5" s="870"/>
      <c r="AP5" s="870"/>
      <c r="AQ5" s="870"/>
      <c r="AR5" s="8"/>
      <c r="AS5" s="8"/>
      <c r="AT5" s="850"/>
      <c r="AU5" s="850"/>
      <c r="AV5" s="850"/>
      <c r="AW5" s="850"/>
      <c r="AX5" s="850"/>
      <c r="AY5" s="850"/>
      <c r="AZ5" s="850"/>
      <c r="BA5" s="850"/>
      <c r="BB5" s="850"/>
      <c r="BC5" s="782"/>
      <c r="BD5" s="782"/>
      <c r="BE5" s="782"/>
      <c r="BF5" s="782"/>
      <c r="BG5" s="9"/>
      <c r="BH5" s="10"/>
      <c r="BI5" s="10"/>
      <c r="BJ5" s="850"/>
      <c r="BK5" s="850"/>
      <c r="BL5" s="850"/>
      <c r="BM5" s="850"/>
      <c r="BN5" s="850"/>
      <c r="BO5" s="850"/>
      <c r="BP5" s="850"/>
      <c r="BQ5" s="850"/>
      <c r="BR5" s="850"/>
      <c r="BS5" s="887"/>
      <c r="BT5" s="887"/>
      <c r="BU5" s="887"/>
      <c r="BV5" s="850"/>
      <c r="BW5" s="770"/>
      <c r="BX5" s="862"/>
      <c r="BY5" s="850"/>
      <c r="BZ5" s="850"/>
      <c r="CA5" s="850"/>
      <c r="CB5" s="850"/>
      <c r="CC5" s="850"/>
      <c r="CD5" s="850"/>
      <c r="CE5" s="850"/>
      <c r="CF5" s="850"/>
      <c r="CG5" s="850"/>
      <c r="CH5" s="850"/>
      <c r="CI5" s="850"/>
      <c r="CJ5" s="850"/>
      <c r="CK5" s="850"/>
      <c r="CL5" s="850"/>
      <c r="CM5" s="863"/>
      <c r="CN5" s="769"/>
      <c r="CO5" s="850"/>
      <c r="CP5" s="850"/>
      <c r="CQ5" s="850"/>
      <c r="CR5" s="850"/>
      <c r="CS5" s="850"/>
      <c r="CT5" s="850"/>
      <c r="CU5" s="850"/>
      <c r="CV5" s="850"/>
      <c r="CW5" s="850"/>
      <c r="CX5" s="850"/>
      <c r="CY5" s="850"/>
      <c r="CZ5" s="850"/>
      <c r="DA5" s="770"/>
      <c r="DB5" s="862"/>
      <c r="DC5" s="850"/>
      <c r="DD5" s="850"/>
      <c r="DE5" s="850"/>
      <c r="DF5" s="850"/>
      <c r="DG5" s="850"/>
      <c r="DH5" s="850"/>
      <c r="DI5" s="850"/>
      <c r="DJ5" s="850"/>
      <c r="DK5" s="850"/>
      <c r="DL5" s="850"/>
      <c r="DM5" s="863"/>
      <c r="DN5" s="862"/>
      <c r="DO5" s="863"/>
      <c r="DP5" s="862"/>
      <c r="DQ5" s="863"/>
      <c r="DR5" s="769"/>
      <c r="DS5" s="770"/>
      <c r="DT5" s="850"/>
      <c r="DU5" s="850"/>
      <c r="DV5" s="863"/>
      <c r="DW5" s="862"/>
      <c r="DX5" s="850"/>
      <c r="DY5" s="863"/>
      <c r="DZ5" s="769"/>
      <c r="EA5" s="850"/>
      <c r="EB5" s="850"/>
      <c r="EC5" s="850"/>
      <c r="ED5" s="850"/>
      <c r="EE5" s="850"/>
      <c r="EF5" s="850"/>
      <c r="EG5" s="850"/>
      <c r="EH5" s="770"/>
      <c r="EI5" s="862"/>
      <c r="EJ5" s="850"/>
      <c r="EK5" s="863"/>
      <c r="EL5" s="789"/>
      <c r="EM5" s="790"/>
      <c r="EN5" s="862"/>
      <c r="EO5" s="850"/>
      <c r="EP5" s="850"/>
      <c r="EQ5" s="863"/>
    </row>
    <row r="6" spans="1:147" s="16" customFormat="1" ht="153" customHeight="1" thickBot="1">
      <c r="A6" s="866"/>
      <c r="B6" s="881"/>
      <c r="C6" s="853"/>
      <c r="D6" s="864"/>
      <c r="E6" s="868"/>
      <c r="F6" s="869"/>
      <c r="G6" s="771"/>
      <c r="H6" s="851"/>
      <c r="I6" s="851"/>
      <c r="J6" s="772"/>
      <c r="K6" s="853"/>
      <c r="L6" s="851"/>
      <c r="M6" s="851"/>
      <c r="N6" s="864"/>
      <c r="O6" s="853"/>
      <c r="P6" s="851"/>
      <c r="Q6" s="851"/>
      <c r="R6" s="864"/>
      <c r="S6" s="853"/>
      <c r="T6" s="851"/>
      <c r="U6" s="851"/>
      <c r="V6" s="864"/>
      <c r="W6" s="853"/>
      <c r="X6" s="851"/>
      <c r="Y6" s="851"/>
      <c r="Z6" s="864"/>
      <c r="AA6" s="853"/>
      <c r="AB6" s="851"/>
      <c r="AC6" s="851"/>
      <c r="AD6" s="864"/>
      <c r="AE6" s="853"/>
      <c r="AF6" s="851"/>
      <c r="AG6" s="851"/>
      <c r="AH6" s="851"/>
      <c r="AI6" s="864"/>
      <c r="AJ6" s="853"/>
      <c r="AK6" s="851"/>
      <c r="AL6" s="851"/>
      <c r="AM6" s="772"/>
      <c r="AN6" s="856"/>
      <c r="AO6" s="856"/>
      <c r="AP6" s="856"/>
      <c r="AQ6" s="856"/>
      <c r="AR6" s="13"/>
      <c r="AS6" s="13"/>
      <c r="AT6" s="851"/>
      <c r="AU6" s="851"/>
      <c r="AV6" s="851"/>
      <c r="AW6" s="851"/>
      <c r="AX6" s="851"/>
      <c r="AY6" s="851"/>
      <c r="AZ6" s="851"/>
      <c r="BA6" s="851"/>
      <c r="BB6" s="851"/>
      <c r="BC6" s="783"/>
      <c r="BD6" s="783"/>
      <c r="BE6" s="783"/>
      <c r="BF6" s="783"/>
      <c r="BG6" s="14"/>
      <c r="BH6" s="15"/>
      <c r="BI6" s="15"/>
      <c r="BJ6" s="851"/>
      <c r="BK6" s="851"/>
      <c r="BL6" s="851"/>
      <c r="BM6" s="851"/>
      <c r="BN6" s="851"/>
      <c r="BO6" s="851"/>
      <c r="BP6" s="851"/>
      <c r="BQ6" s="851"/>
      <c r="BR6" s="851"/>
      <c r="BS6" s="888"/>
      <c r="BT6" s="888"/>
      <c r="BU6" s="888"/>
      <c r="BV6" s="851"/>
      <c r="BW6" s="772"/>
      <c r="BX6" s="853"/>
      <c r="BY6" s="851"/>
      <c r="BZ6" s="851"/>
      <c r="CA6" s="851"/>
      <c r="CB6" s="851"/>
      <c r="CC6" s="851"/>
      <c r="CD6" s="851"/>
      <c r="CE6" s="851"/>
      <c r="CF6" s="851"/>
      <c r="CG6" s="851"/>
      <c r="CH6" s="851"/>
      <c r="CI6" s="851"/>
      <c r="CJ6" s="851"/>
      <c r="CK6" s="851"/>
      <c r="CL6" s="851"/>
      <c r="CM6" s="864"/>
      <c r="CN6" s="771"/>
      <c r="CO6" s="851"/>
      <c r="CP6" s="851"/>
      <c r="CQ6" s="851"/>
      <c r="CR6" s="851"/>
      <c r="CS6" s="851"/>
      <c r="CT6" s="851"/>
      <c r="CU6" s="851"/>
      <c r="CV6" s="851"/>
      <c r="CW6" s="851"/>
      <c r="CX6" s="851"/>
      <c r="CY6" s="851"/>
      <c r="CZ6" s="851"/>
      <c r="DA6" s="772"/>
      <c r="DB6" s="853"/>
      <c r="DC6" s="851"/>
      <c r="DD6" s="851"/>
      <c r="DE6" s="851"/>
      <c r="DF6" s="851"/>
      <c r="DG6" s="851"/>
      <c r="DH6" s="851"/>
      <c r="DI6" s="851"/>
      <c r="DJ6" s="851"/>
      <c r="DK6" s="851"/>
      <c r="DL6" s="851"/>
      <c r="DM6" s="864"/>
      <c r="DN6" s="853"/>
      <c r="DO6" s="864"/>
      <c r="DP6" s="853"/>
      <c r="DQ6" s="864"/>
      <c r="DR6" s="771"/>
      <c r="DS6" s="772"/>
      <c r="DT6" s="851"/>
      <c r="DU6" s="851"/>
      <c r="DV6" s="864"/>
      <c r="DW6" s="853"/>
      <c r="DX6" s="851"/>
      <c r="DY6" s="864"/>
      <c r="DZ6" s="771"/>
      <c r="EA6" s="851"/>
      <c r="EB6" s="851"/>
      <c r="EC6" s="851"/>
      <c r="ED6" s="851"/>
      <c r="EE6" s="851"/>
      <c r="EF6" s="851"/>
      <c r="EG6" s="851"/>
      <c r="EH6" s="772"/>
      <c r="EI6" s="853"/>
      <c r="EJ6" s="851"/>
      <c r="EK6" s="864"/>
      <c r="EL6" s="777"/>
      <c r="EM6" s="778"/>
      <c r="EN6" s="862"/>
      <c r="EO6" s="850"/>
      <c r="EP6" s="850"/>
      <c r="EQ6" s="863"/>
    </row>
    <row r="7" spans="1:147" s="16" customFormat="1" ht="16.5" thickBot="1">
      <c r="A7" s="866"/>
      <c r="B7" s="881"/>
      <c r="C7" s="784" t="s">
        <v>33</v>
      </c>
      <c r="D7" s="775"/>
      <c r="E7" s="784" t="s">
        <v>34</v>
      </c>
      <c r="F7" s="775"/>
      <c r="G7" s="773" t="s">
        <v>35</v>
      </c>
      <c r="H7" s="821"/>
      <c r="I7" s="821"/>
      <c r="J7" s="774"/>
      <c r="K7" s="784" t="s">
        <v>36</v>
      </c>
      <c r="L7" s="821"/>
      <c r="M7" s="821"/>
      <c r="N7" s="775"/>
      <c r="O7" s="784" t="s">
        <v>37</v>
      </c>
      <c r="P7" s="821"/>
      <c r="Q7" s="821"/>
      <c r="R7" s="775"/>
      <c r="S7" s="784" t="s">
        <v>38</v>
      </c>
      <c r="T7" s="821"/>
      <c r="U7" s="821"/>
      <c r="V7" s="775"/>
      <c r="W7" s="784" t="s">
        <v>39</v>
      </c>
      <c r="X7" s="821"/>
      <c r="Y7" s="821"/>
      <c r="Z7" s="775"/>
      <c r="AA7" s="784" t="s">
        <v>40</v>
      </c>
      <c r="AB7" s="821"/>
      <c r="AC7" s="821"/>
      <c r="AD7" s="775"/>
      <c r="AE7" s="784" t="s">
        <v>41</v>
      </c>
      <c r="AF7" s="821"/>
      <c r="AG7" s="821"/>
      <c r="AH7" s="821"/>
      <c r="AI7" s="775"/>
      <c r="AJ7" s="784" t="s">
        <v>42</v>
      </c>
      <c r="AK7" s="821"/>
      <c r="AL7" s="821"/>
      <c r="AM7" s="774"/>
      <c r="AN7" s="786" t="s">
        <v>43</v>
      </c>
      <c r="AO7" s="786"/>
      <c r="AP7" s="786"/>
      <c r="AQ7" s="786"/>
      <c r="AR7" s="17"/>
      <c r="AS7" s="17"/>
      <c r="AT7" s="821" t="s">
        <v>44</v>
      </c>
      <c r="AU7" s="821"/>
      <c r="AV7" s="821"/>
      <c r="AW7" s="821"/>
      <c r="AX7" s="821" t="s">
        <v>45</v>
      </c>
      <c r="AY7" s="821"/>
      <c r="AZ7" s="821"/>
      <c r="BA7" s="821"/>
      <c r="BB7" s="821"/>
      <c r="BC7" s="821" t="s">
        <v>46</v>
      </c>
      <c r="BD7" s="821"/>
      <c r="BE7" s="821"/>
      <c r="BF7" s="821"/>
      <c r="BG7" s="18"/>
      <c r="BH7" s="19"/>
      <c r="BI7" s="19"/>
      <c r="BJ7" s="821" t="s">
        <v>47</v>
      </c>
      <c r="BK7" s="821"/>
      <c r="BL7" s="821"/>
      <c r="BM7" s="821"/>
      <c r="BN7" s="894" t="s">
        <v>48</v>
      </c>
      <c r="BO7" s="894"/>
      <c r="BP7" s="894"/>
      <c r="BQ7" s="894"/>
      <c r="BR7" s="894"/>
      <c r="BS7" s="821" t="s">
        <v>49</v>
      </c>
      <c r="BT7" s="821"/>
      <c r="BU7" s="821"/>
      <c r="BV7" s="821" t="s">
        <v>50</v>
      </c>
      <c r="BW7" s="774"/>
      <c r="BX7" s="784" t="s">
        <v>51</v>
      </c>
      <c r="BY7" s="821"/>
      <c r="BZ7" s="821"/>
      <c r="CA7" s="821"/>
      <c r="CB7" s="821"/>
      <c r="CC7" s="821"/>
      <c r="CD7" s="821"/>
      <c r="CE7" s="821"/>
      <c r="CF7" s="821"/>
      <c r="CG7" s="821"/>
      <c r="CH7" s="821"/>
      <c r="CI7" s="821"/>
      <c r="CJ7" s="821"/>
      <c r="CK7" s="821"/>
      <c r="CL7" s="821"/>
      <c r="CM7" s="775"/>
      <c r="CN7" s="773" t="s">
        <v>52</v>
      </c>
      <c r="CO7" s="821"/>
      <c r="CP7" s="821"/>
      <c r="CQ7" s="821"/>
      <c r="CR7" s="821"/>
      <c r="CS7" s="821"/>
      <c r="CT7" s="821"/>
      <c r="CU7" s="821"/>
      <c r="CV7" s="821"/>
      <c r="CW7" s="821"/>
      <c r="CX7" s="821"/>
      <c r="CY7" s="821"/>
      <c r="CZ7" s="821"/>
      <c r="DA7" s="774"/>
      <c r="DB7" s="784" t="s">
        <v>53</v>
      </c>
      <c r="DC7" s="821"/>
      <c r="DD7" s="821"/>
      <c r="DE7" s="821"/>
      <c r="DF7" s="821"/>
      <c r="DG7" s="821"/>
      <c r="DH7" s="821"/>
      <c r="DI7" s="821"/>
      <c r="DJ7" s="821"/>
      <c r="DK7" s="821"/>
      <c r="DL7" s="821"/>
      <c r="DM7" s="775"/>
      <c r="DN7" s="784" t="s">
        <v>54</v>
      </c>
      <c r="DO7" s="775"/>
      <c r="DP7" s="784" t="s">
        <v>55</v>
      </c>
      <c r="DQ7" s="775"/>
      <c r="DR7" s="773" t="s">
        <v>56</v>
      </c>
      <c r="DS7" s="774"/>
      <c r="DT7" s="821" t="s">
        <v>57</v>
      </c>
      <c r="DU7" s="821"/>
      <c r="DV7" s="775"/>
      <c r="DW7" s="784" t="s">
        <v>58</v>
      </c>
      <c r="DX7" s="821"/>
      <c r="DY7" s="775"/>
      <c r="DZ7" s="773" t="s">
        <v>59</v>
      </c>
      <c r="EA7" s="821"/>
      <c r="EB7" s="821"/>
      <c r="EC7" s="821" t="s">
        <v>60</v>
      </c>
      <c r="ED7" s="821"/>
      <c r="EE7" s="821"/>
      <c r="EF7" s="821" t="s">
        <v>61</v>
      </c>
      <c r="EG7" s="821"/>
      <c r="EH7" s="774"/>
      <c r="EI7" s="784" t="s">
        <v>63</v>
      </c>
      <c r="EJ7" s="821"/>
      <c r="EK7" s="775"/>
      <c r="EL7" s="779" t="s">
        <v>62</v>
      </c>
      <c r="EM7" s="780"/>
      <c r="EN7" s="877"/>
      <c r="EO7" s="791"/>
      <c r="EP7" s="791"/>
      <c r="EQ7" s="878"/>
    </row>
    <row r="8" spans="1:147" s="16" customFormat="1" ht="111.75" customHeight="1" thickBot="1">
      <c r="A8" s="866"/>
      <c r="B8" s="881"/>
      <c r="C8" s="852" t="s">
        <v>64</v>
      </c>
      <c r="D8" s="854" t="s">
        <v>65</v>
      </c>
      <c r="E8" s="852" t="s">
        <v>64</v>
      </c>
      <c r="F8" s="854" t="s">
        <v>65</v>
      </c>
      <c r="G8" s="793" t="s">
        <v>66</v>
      </c>
      <c r="H8" s="849" t="s">
        <v>67</v>
      </c>
      <c r="I8" s="849" t="s">
        <v>64</v>
      </c>
      <c r="J8" s="857" t="s">
        <v>65</v>
      </c>
      <c r="K8" s="852" t="s">
        <v>67</v>
      </c>
      <c r="L8" s="849" t="s">
        <v>68</v>
      </c>
      <c r="M8" s="849" t="s">
        <v>64</v>
      </c>
      <c r="N8" s="854" t="s">
        <v>65</v>
      </c>
      <c r="O8" s="852" t="s">
        <v>67</v>
      </c>
      <c r="P8" s="849" t="s">
        <v>69</v>
      </c>
      <c r="Q8" s="849" t="s">
        <v>64</v>
      </c>
      <c r="R8" s="854" t="s">
        <v>65</v>
      </c>
      <c r="S8" s="852" t="s">
        <v>70</v>
      </c>
      <c r="T8" s="849" t="s">
        <v>71</v>
      </c>
      <c r="U8" s="849" t="s">
        <v>64</v>
      </c>
      <c r="V8" s="854" t="s">
        <v>65</v>
      </c>
      <c r="W8" s="852" t="s">
        <v>72</v>
      </c>
      <c r="X8" s="849" t="s">
        <v>73</v>
      </c>
      <c r="Y8" s="849" t="s">
        <v>64</v>
      </c>
      <c r="Z8" s="854" t="s">
        <v>65</v>
      </c>
      <c r="AA8" s="852" t="s">
        <v>74</v>
      </c>
      <c r="AB8" s="849" t="s">
        <v>75</v>
      </c>
      <c r="AC8" s="849" t="s">
        <v>64</v>
      </c>
      <c r="AD8" s="854" t="s">
        <v>65</v>
      </c>
      <c r="AE8" s="852" t="s">
        <v>76</v>
      </c>
      <c r="AF8" s="849" t="s">
        <v>77</v>
      </c>
      <c r="AG8" s="849" t="s">
        <v>78</v>
      </c>
      <c r="AH8" s="849" t="s">
        <v>64</v>
      </c>
      <c r="AI8" s="854" t="s">
        <v>65</v>
      </c>
      <c r="AJ8" s="852" t="s">
        <v>154</v>
      </c>
      <c r="AK8" s="849" t="s">
        <v>155</v>
      </c>
      <c r="AL8" s="849" t="s">
        <v>64</v>
      </c>
      <c r="AM8" s="857" t="s">
        <v>65</v>
      </c>
      <c r="AN8" s="792" t="s">
        <v>79</v>
      </c>
      <c r="AO8" s="792" t="s">
        <v>80</v>
      </c>
      <c r="AP8" s="792" t="s">
        <v>64</v>
      </c>
      <c r="AQ8" s="859" t="s">
        <v>81</v>
      </c>
      <c r="AR8" s="20"/>
      <c r="AS8" s="871" t="s">
        <v>82</v>
      </c>
      <c r="AT8" s="849" t="s">
        <v>82</v>
      </c>
      <c r="AU8" s="849" t="s">
        <v>83</v>
      </c>
      <c r="AV8" s="849" t="s">
        <v>64</v>
      </c>
      <c r="AW8" s="859" t="s">
        <v>65</v>
      </c>
      <c r="AX8" s="849" t="s">
        <v>84</v>
      </c>
      <c r="AY8" s="849" t="s">
        <v>85</v>
      </c>
      <c r="AZ8" s="849"/>
      <c r="BA8" s="792" t="s">
        <v>86</v>
      </c>
      <c r="BB8" s="792" t="s">
        <v>87</v>
      </c>
      <c r="BC8" s="849" t="s">
        <v>88</v>
      </c>
      <c r="BD8" s="849" t="s">
        <v>89</v>
      </c>
      <c r="BE8" s="849" t="s">
        <v>64</v>
      </c>
      <c r="BF8" s="859" t="s">
        <v>65</v>
      </c>
      <c r="BG8" s="21"/>
      <c r="BH8" s="21"/>
      <c r="BI8" s="21"/>
      <c r="BJ8" s="792" t="s">
        <v>90</v>
      </c>
      <c r="BK8" s="849" t="s">
        <v>91</v>
      </c>
      <c r="BL8" s="849" t="s">
        <v>64</v>
      </c>
      <c r="BM8" s="859" t="s">
        <v>65</v>
      </c>
      <c r="BN8" s="792" t="s">
        <v>92</v>
      </c>
      <c r="BO8" s="849" t="s">
        <v>93</v>
      </c>
      <c r="BP8" s="849" t="s">
        <v>94</v>
      </c>
      <c r="BQ8" s="849" t="s">
        <v>64</v>
      </c>
      <c r="BR8" s="859" t="s">
        <v>65</v>
      </c>
      <c r="BS8" s="792" t="s">
        <v>95</v>
      </c>
      <c r="BT8" s="900" t="s">
        <v>64</v>
      </c>
      <c r="BU8" s="859" t="s">
        <v>65</v>
      </c>
      <c r="BV8" s="849" t="s">
        <v>64</v>
      </c>
      <c r="BW8" s="892" t="s">
        <v>65</v>
      </c>
      <c r="BX8" s="875" t="s">
        <v>96</v>
      </c>
      <c r="BY8" s="792"/>
      <c r="BZ8" s="792" t="s">
        <v>156</v>
      </c>
      <c r="CA8" s="792"/>
      <c r="CB8" s="889" t="s">
        <v>97</v>
      </c>
      <c r="CC8" s="890"/>
      <c r="CD8" s="792" t="s">
        <v>151</v>
      </c>
      <c r="CE8" s="792"/>
      <c r="CF8" s="792" t="s">
        <v>161</v>
      </c>
      <c r="CG8" s="792"/>
      <c r="CH8" s="876"/>
      <c r="CI8" s="876"/>
      <c r="CJ8" s="792" t="s">
        <v>98</v>
      </c>
      <c r="CK8" s="792"/>
      <c r="CL8" s="792" t="s">
        <v>105</v>
      </c>
      <c r="CM8" s="785"/>
      <c r="CN8" s="793" t="s">
        <v>99</v>
      </c>
      <c r="CO8" s="849"/>
      <c r="CP8" s="873" t="s">
        <v>152</v>
      </c>
      <c r="CQ8" s="873"/>
      <c r="CR8" s="792" t="s">
        <v>157</v>
      </c>
      <c r="CS8" s="792"/>
      <c r="CT8" s="792" t="s">
        <v>153</v>
      </c>
      <c r="CU8" s="792"/>
      <c r="CV8" s="786" t="s">
        <v>100</v>
      </c>
      <c r="CW8" s="786"/>
      <c r="CX8" s="786" t="s">
        <v>101</v>
      </c>
      <c r="CY8" s="786"/>
      <c r="CZ8" s="786" t="s">
        <v>105</v>
      </c>
      <c r="DA8" s="891"/>
      <c r="DB8" s="875" t="s">
        <v>158</v>
      </c>
      <c r="DC8" s="792"/>
      <c r="DD8" s="792" t="s">
        <v>102</v>
      </c>
      <c r="DE8" s="792"/>
      <c r="DF8" s="792" t="s">
        <v>103</v>
      </c>
      <c r="DG8" s="792"/>
      <c r="DH8" s="792" t="s">
        <v>159</v>
      </c>
      <c r="DI8" s="792"/>
      <c r="DJ8" s="792" t="s">
        <v>104</v>
      </c>
      <c r="DK8" s="792"/>
      <c r="DL8" s="792" t="s">
        <v>105</v>
      </c>
      <c r="DM8" s="885"/>
      <c r="DN8" s="883" t="s">
        <v>64</v>
      </c>
      <c r="DO8" s="883" t="s">
        <v>65</v>
      </c>
      <c r="DP8" s="852" t="s">
        <v>64</v>
      </c>
      <c r="DQ8" s="861" t="s">
        <v>65</v>
      </c>
      <c r="DR8" s="793" t="s">
        <v>64</v>
      </c>
      <c r="DS8" s="776" t="s">
        <v>65</v>
      </c>
      <c r="DT8" s="849" t="s">
        <v>106</v>
      </c>
      <c r="DU8" s="849" t="s">
        <v>64</v>
      </c>
      <c r="DV8" s="861" t="s">
        <v>65</v>
      </c>
      <c r="DW8" s="852" t="s">
        <v>106</v>
      </c>
      <c r="DX8" s="849" t="s">
        <v>64</v>
      </c>
      <c r="DY8" s="861" t="s">
        <v>65</v>
      </c>
      <c r="DZ8" s="793" t="s">
        <v>106</v>
      </c>
      <c r="EA8" s="849" t="s">
        <v>64</v>
      </c>
      <c r="EB8" s="849" t="s">
        <v>65</v>
      </c>
      <c r="EC8" s="849" t="s">
        <v>106</v>
      </c>
      <c r="ED8" s="849" t="s">
        <v>64</v>
      </c>
      <c r="EE8" s="849" t="s">
        <v>65</v>
      </c>
      <c r="EF8" s="849" t="s">
        <v>106</v>
      </c>
      <c r="EG8" s="776" t="s">
        <v>64</v>
      </c>
      <c r="EH8" s="883" t="s">
        <v>65</v>
      </c>
      <c r="EI8" s="895" t="s">
        <v>106</v>
      </c>
      <c r="EJ8" s="876" t="s">
        <v>64</v>
      </c>
      <c r="EK8" s="898" t="s">
        <v>65</v>
      </c>
      <c r="EL8" s="845" t="s">
        <v>64</v>
      </c>
      <c r="EM8" s="847" t="s">
        <v>65</v>
      </c>
      <c r="EN8" s="852" t="s">
        <v>107</v>
      </c>
      <c r="EO8" s="849" t="s">
        <v>108</v>
      </c>
      <c r="EP8" s="849" t="s">
        <v>109</v>
      </c>
      <c r="EQ8" s="861" t="s">
        <v>110</v>
      </c>
    </row>
    <row r="9" spans="1:147" s="11" customFormat="1" ht="96.75" customHeight="1" thickBot="1">
      <c r="A9" s="868"/>
      <c r="B9" s="882"/>
      <c r="C9" s="853"/>
      <c r="D9" s="855"/>
      <c r="E9" s="853"/>
      <c r="F9" s="855"/>
      <c r="G9" s="771"/>
      <c r="H9" s="851"/>
      <c r="I9" s="851"/>
      <c r="J9" s="858"/>
      <c r="K9" s="853"/>
      <c r="L9" s="851"/>
      <c r="M9" s="851"/>
      <c r="N9" s="855"/>
      <c r="O9" s="853"/>
      <c r="P9" s="851"/>
      <c r="Q9" s="851"/>
      <c r="R9" s="855"/>
      <c r="S9" s="853"/>
      <c r="T9" s="851"/>
      <c r="U9" s="851"/>
      <c r="V9" s="855"/>
      <c r="W9" s="853"/>
      <c r="X9" s="851"/>
      <c r="Y9" s="851"/>
      <c r="Z9" s="855"/>
      <c r="AA9" s="853"/>
      <c r="AB9" s="851"/>
      <c r="AC9" s="851"/>
      <c r="AD9" s="874"/>
      <c r="AE9" s="853"/>
      <c r="AF9" s="851"/>
      <c r="AG9" s="851"/>
      <c r="AH9" s="851"/>
      <c r="AI9" s="855"/>
      <c r="AJ9" s="853"/>
      <c r="AK9" s="851"/>
      <c r="AL9" s="851"/>
      <c r="AM9" s="858"/>
      <c r="AN9" s="856"/>
      <c r="AO9" s="856"/>
      <c r="AP9" s="856"/>
      <c r="AQ9" s="860"/>
      <c r="AR9" s="22"/>
      <c r="AS9" s="872"/>
      <c r="AT9" s="851"/>
      <c r="AU9" s="851"/>
      <c r="AV9" s="851"/>
      <c r="AW9" s="860"/>
      <c r="AX9" s="851"/>
      <c r="AY9" s="14" t="s">
        <v>111</v>
      </c>
      <c r="AZ9" s="14" t="s">
        <v>112</v>
      </c>
      <c r="BA9" s="856"/>
      <c r="BB9" s="856"/>
      <c r="BC9" s="851"/>
      <c r="BD9" s="851"/>
      <c r="BE9" s="851"/>
      <c r="BF9" s="860"/>
      <c r="BG9" s="23"/>
      <c r="BH9" s="23"/>
      <c r="BI9" s="23"/>
      <c r="BJ9" s="856"/>
      <c r="BK9" s="851"/>
      <c r="BL9" s="851"/>
      <c r="BM9" s="860"/>
      <c r="BN9" s="856"/>
      <c r="BO9" s="851"/>
      <c r="BP9" s="851"/>
      <c r="BQ9" s="791"/>
      <c r="BR9" s="860"/>
      <c r="BS9" s="856"/>
      <c r="BT9" s="901"/>
      <c r="BU9" s="860"/>
      <c r="BV9" s="791"/>
      <c r="BW9" s="893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6" t="s">
        <v>114</v>
      </c>
      <c r="CY9" s="235" t="s">
        <v>65</v>
      </c>
      <c r="CZ9" s="236" t="s">
        <v>64</v>
      </c>
      <c r="DA9" s="237" t="s">
        <v>65</v>
      </c>
      <c r="DB9" s="249" t="s">
        <v>114</v>
      </c>
      <c r="DC9" s="157" t="s">
        <v>65</v>
      </c>
      <c r="DD9" s="150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262" t="s">
        <v>64</v>
      </c>
      <c r="DM9" s="263" t="s">
        <v>65</v>
      </c>
      <c r="DN9" s="884"/>
      <c r="DO9" s="884"/>
      <c r="DP9" s="877"/>
      <c r="DQ9" s="864"/>
      <c r="DR9" s="771"/>
      <c r="DS9" s="772"/>
      <c r="DT9" s="851"/>
      <c r="DU9" s="851"/>
      <c r="DV9" s="864"/>
      <c r="DW9" s="853"/>
      <c r="DX9" s="851"/>
      <c r="DY9" s="864"/>
      <c r="DZ9" s="771"/>
      <c r="EA9" s="851"/>
      <c r="EB9" s="851"/>
      <c r="EC9" s="851"/>
      <c r="ED9" s="851"/>
      <c r="EE9" s="851"/>
      <c r="EF9" s="851"/>
      <c r="EG9" s="772"/>
      <c r="EH9" s="884"/>
      <c r="EI9" s="896"/>
      <c r="EJ9" s="897"/>
      <c r="EK9" s="899"/>
      <c r="EL9" s="846"/>
      <c r="EM9" s="848"/>
      <c r="EN9" s="853"/>
      <c r="EO9" s="851"/>
      <c r="EP9" s="851"/>
      <c r="EQ9" s="864"/>
    </row>
    <row r="10" spans="1:148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18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1">
        <v>1910.3</v>
      </c>
      <c r="AO10" s="31">
        <v>2547.1</v>
      </c>
      <c r="AP10" s="32">
        <f aca="true" t="shared" si="10" ref="AP10:AP34">AN10*100%/AO10</f>
        <v>0.7499901849161792</v>
      </c>
      <c r="AQ10" s="33">
        <v>1</v>
      </c>
      <c r="AR10" s="34">
        <f>AT10*100/AT36</f>
        <v>3.0783249350826503</v>
      </c>
      <c r="AS10" s="143">
        <v>11780.1</v>
      </c>
      <c r="AT10" s="31">
        <v>11780.1</v>
      </c>
      <c r="AU10" s="31">
        <v>5048.5</v>
      </c>
      <c r="AV10" s="26">
        <f aca="true" t="shared" si="11" ref="AV10:AV34">AU10*100%/AS10</f>
        <v>0.42856172698024636</v>
      </c>
      <c r="AW10" s="203">
        <v>1</v>
      </c>
      <c r="AX10" s="31">
        <v>1698.82</v>
      </c>
      <c r="AY10" s="36">
        <f aca="true" t="shared" si="12" ref="AY10:AY34">AX10*100/AN10</f>
        <v>88.92948751505</v>
      </c>
      <c r="AZ10" s="36">
        <f aca="true" t="shared" si="13" ref="AZ10:AZ34">AX10*100/AU10</f>
        <v>33.64999504803407</v>
      </c>
      <c r="BA10" s="203">
        <v>0</v>
      </c>
      <c r="BB10" s="203">
        <v>1</v>
      </c>
      <c r="BC10" s="37">
        <v>2594</v>
      </c>
      <c r="BD10" s="31">
        <f>AS10*1000/BC10</f>
        <v>4541.287586738627</v>
      </c>
      <c r="BE10" s="32">
        <f>BD10/BD36*100%</f>
        <v>1.172777717943246</v>
      </c>
      <c r="BF10" s="203">
        <v>1</v>
      </c>
      <c r="BG10" s="35">
        <f>BD10*100/BD36</f>
        <v>117.27777179432458</v>
      </c>
      <c r="BH10" s="38">
        <f aca="true" t="shared" si="14" ref="BH10:BH34">BJ10*100/AN10</f>
        <v>225.00593781081503</v>
      </c>
      <c r="BI10" s="38">
        <f aca="true" t="shared" si="15" ref="BI10:BI34">BJ10*100/AT10</f>
        <v>36.48770748974965</v>
      </c>
      <c r="BJ10" s="31">
        <f>4298288.43/1000</f>
        <v>4298.28843</v>
      </c>
      <c r="BK10" s="36">
        <f aca="true" t="shared" si="16" ref="BK10:BK34">BJ10*1000/BC10</f>
        <v>1657.0117309175018</v>
      </c>
      <c r="BL10" s="26">
        <f>BK10/BK36*100%</f>
        <v>2.4242752057558463</v>
      </c>
      <c r="BM10" s="203">
        <v>1</v>
      </c>
      <c r="BN10" s="39">
        <v>821</v>
      </c>
      <c r="BO10" s="40">
        <v>255.15</v>
      </c>
      <c r="BP10" s="26">
        <f aca="true" t="shared" si="17" ref="BP10:BP16">BO10/(BN10+BO10)</f>
        <v>0.237095200483204</v>
      </c>
      <c r="BQ10" s="208">
        <v>1</v>
      </c>
      <c r="BR10" s="209">
        <v>1</v>
      </c>
      <c r="BS10" s="31">
        <f>3292492.06/1000</f>
        <v>3292.49206</v>
      </c>
      <c r="BT10" s="41">
        <f aca="true" t="shared" si="18" ref="BT10:BT34">BS10*100%/AT10</f>
        <v>0.27949610444733064</v>
      </c>
      <c r="BU10" s="211">
        <f aca="true" t="shared" si="19" ref="BU10:BU34">BT10/50%</f>
        <v>0.5589922088946613</v>
      </c>
      <c r="BV10" s="169">
        <v>7.796435501828972</v>
      </c>
      <c r="BW10" s="214">
        <f aca="true" t="shared" si="20" ref="BW10:BW34">1-(BV10/100)</f>
        <v>0.9220356449817103</v>
      </c>
      <c r="BX10" s="219">
        <f>1+1</f>
        <v>2</v>
      </c>
      <c r="BY10" s="214">
        <f aca="true" t="shared" si="21" ref="BY10:BY33">(1-BX10/12)</f>
        <v>0.8333333333333334</v>
      </c>
      <c r="BZ10" s="220">
        <v>0</v>
      </c>
      <c r="CA10" s="33">
        <f>1-BZ10/1</f>
        <v>1</v>
      </c>
      <c r="CB10" s="220">
        <v>0</v>
      </c>
      <c r="CC10" s="221">
        <f aca="true" t="shared" si="22" ref="CC10:CC33">1-CB10/4</f>
        <v>1</v>
      </c>
      <c r="CD10" s="222">
        <v>0</v>
      </c>
      <c r="CE10" s="223">
        <f>1-CD10/1</f>
        <v>1</v>
      </c>
      <c r="CF10" s="39"/>
      <c r="CG10" s="221">
        <f aca="true" t="shared" si="23" ref="CG10:CG33">1-CF10/1</f>
        <v>1</v>
      </c>
      <c r="CH10" s="42"/>
      <c r="CI10" s="43"/>
      <c r="CJ10" s="31"/>
      <c r="CK10" s="221">
        <f aca="true" t="shared" si="24" ref="CK10:CK33">1-CJ10/6</f>
        <v>1</v>
      </c>
      <c r="CL10" s="240">
        <f aca="true" t="shared" si="25" ref="CL10:CL33">BX10+BZ10+CB10+CD10+CF10+CH10+CJ10</f>
        <v>2</v>
      </c>
      <c r="CM10" s="221">
        <f aca="true" t="shared" si="26" ref="CM10:CM33">1-CL10/16</f>
        <v>0.875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1-CT10/1</f>
        <v>1</v>
      </c>
      <c r="CV10" s="238">
        <f>2+3+2+1</f>
        <v>8</v>
      </c>
      <c r="CW10" s="239">
        <f aca="true" t="shared" si="31" ref="CW10:CW33">1-CV10/11</f>
        <v>0.2727272727272727</v>
      </c>
      <c r="CX10" s="238">
        <v>1</v>
      </c>
      <c r="CY10" s="239">
        <f aca="true" t="shared" si="32" ref="CY10:CY33">1-CX10/8</f>
        <v>0.875</v>
      </c>
      <c r="CZ10" s="240">
        <f aca="true" t="shared" si="33" ref="CZ10:CZ33">CR10+CT10+CV10+CX10</f>
        <v>9</v>
      </c>
      <c r="DA10" s="239">
        <f aca="true" t="shared" si="34" ref="DA10:DA33">1-CZ10/22</f>
        <v>0.5909090909090908</v>
      </c>
      <c r="DB10" s="250">
        <v>0</v>
      </c>
      <c r="DC10" s="209">
        <v>1</v>
      </c>
      <c r="DD10" s="220">
        <v>1</v>
      </c>
      <c r="DE10" s="251">
        <f aca="true" t="shared" si="35" ref="DE10:DE33">1-DD10/14</f>
        <v>0.9285714285714286</v>
      </c>
      <c r="DF10" s="39">
        <v>1</v>
      </c>
      <c r="DG10" s="209">
        <f aca="true" t="shared" si="36" ref="DG10:DG33">1-DF10/45</f>
        <v>0.9777777777777777</v>
      </c>
      <c r="DH10" s="31">
        <v>0</v>
      </c>
      <c r="DI10" s="209">
        <v>1</v>
      </c>
      <c r="DJ10" s="220">
        <v>0</v>
      </c>
      <c r="DK10" s="259">
        <v>1</v>
      </c>
      <c r="DL10" s="220">
        <f aca="true" t="shared" si="37" ref="DL10:DL33">DB10+DD10+DF10+DH10+DJ10</f>
        <v>2</v>
      </c>
      <c r="DM10" s="259">
        <f aca="true" t="shared" si="38" ref="DM10:DM33">1-DL10/61</f>
        <v>0.9672131147540983</v>
      </c>
      <c r="DN10" s="171">
        <v>146</v>
      </c>
      <c r="DO10" s="165">
        <f>1-DN10/(1465)*100/100</f>
        <v>0.9003412969283277</v>
      </c>
      <c r="DP10" s="66">
        <v>1</v>
      </c>
      <c r="DQ10" s="28">
        <f aca="true" t="shared" si="39" ref="DQ10:DQ33">1-DP10/4</f>
        <v>0.75</v>
      </c>
      <c r="DR10" s="45">
        <v>1</v>
      </c>
      <c r="DS10" s="28">
        <v>1</v>
      </c>
      <c r="DT10" s="46">
        <v>1</v>
      </c>
      <c r="DU10" s="45">
        <v>1</v>
      </c>
      <c r="DV10" s="28">
        <v>1</v>
      </c>
      <c r="DW10" s="46"/>
      <c r="DX10" s="45">
        <v>1</v>
      </c>
      <c r="DY10" s="28">
        <v>1</v>
      </c>
      <c r="DZ10" s="47"/>
      <c r="EA10" s="45">
        <v>1</v>
      </c>
      <c r="EB10" s="69">
        <v>1</v>
      </c>
      <c r="EC10" s="49"/>
      <c r="ED10" s="49">
        <v>1</v>
      </c>
      <c r="EE10" s="69">
        <v>1</v>
      </c>
      <c r="EF10" s="49"/>
      <c r="EG10" s="49">
        <v>1</v>
      </c>
      <c r="EH10" s="172">
        <v>1</v>
      </c>
      <c r="EI10" s="46"/>
      <c r="EJ10" s="45"/>
      <c r="EK10" s="28"/>
      <c r="EL10" s="173"/>
      <c r="EM10" s="174"/>
      <c r="EN10" s="50">
        <f aca="true" t="shared" si="40" ref="EN10:EN33">D10+F10+J10+N10+R10+V10+Z10+AD10+AI10+AM10+AQ10+AW10+BA10+BB10+BF10+BM10+BR10+BU10+BW10+CM10+DA10+DM10+DO10+DQ10+DS10+DV10+DY10+EB10+EE10+EH10</f>
        <v>24.297811685916667</v>
      </c>
      <c r="EO10" s="24">
        <f aca="true" t="shared" si="41" ref="EO10:EO33">EO9+1</f>
        <v>1</v>
      </c>
      <c r="EP10" s="51">
        <f aca="true" t="shared" si="42" ref="EP10:EP34">(23.9-22)/3</f>
        <v>0.6333333333333329</v>
      </c>
      <c r="EQ10" s="52" t="s">
        <v>116</v>
      </c>
      <c r="ER10" s="53" t="s">
        <v>117</v>
      </c>
    </row>
    <row r="11" spans="1:148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2">
        <v>3330.9</v>
      </c>
      <c r="AO11" s="62">
        <v>3948.8</v>
      </c>
      <c r="AP11" s="63">
        <f t="shared" si="10"/>
        <v>0.8435220826580226</v>
      </c>
      <c r="AQ11" s="64">
        <v>1</v>
      </c>
      <c r="AR11" s="65">
        <f>AT11*100/AT37</f>
        <v>11.011137535934173</v>
      </c>
      <c r="AS11" s="144">
        <v>42137.25</v>
      </c>
      <c r="AT11" s="62">
        <v>42137.3</v>
      </c>
      <c r="AU11" s="62">
        <v>11168.7</v>
      </c>
      <c r="AV11" s="26">
        <f t="shared" si="11"/>
        <v>0.2650552658277415</v>
      </c>
      <c r="AW11" s="203">
        <v>1</v>
      </c>
      <c r="AX11" s="62">
        <v>3227.41</v>
      </c>
      <c r="AY11" s="66">
        <f t="shared" si="12"/>
        <v>96.89303191329671</v>
      </c>
      <c r="AZ11" s="66">
        <f t="shared" si="13"/>
        <v>28.896917277749424</v>
      </c>
      <c r="BA11" s="203">
        <v>0</v>
      </c>
      <c r="BB11" s="203">
        <v>1</v>
      </c>
      <c r="BC11" s="67">
        <v>7824</v>
      </c>
      <c r="BD11" s="31">
        <f>AS11*1000/BC11</f>
        <v>5385.640337423313</v>
      </c>
      <c r="BE11" s="63">
        <f>BD11/BD37*100%</f>
        <v>1.3908299934650077</v>
      </c>
      <c r="BF11" s="203">
        <v>1</v>
      </c>
      <c r="BG11" s="68">
        <f>BD11*100/BD37</f>
        <v>139.08299934650077</v>
      </c>
      <c r="BH11" s="69">
        <f t="shared" si="14"/>
        <v>222.3380236572698</v>
      </c>
      <c r="BI11" s="69">
        <f t="shared" si="15"/>
        <v>17.57553813367254</v>
      </c>
      <c r="BJ11" s="62">
        <f>7405857.23/1000</f>
        <v>7405.8572300000005</v>
      </c>
      <c r="BK11" s="66">
        <f t="shared" si="16"/>
        <v>946.5563944274029</v>
      </c>
      <c r="BL11" s="58">
        <f>BK11/BK37*100%</f>
        <v>1.3848503031353927</v>
      </c>
      <c r="BM11" s="205">
        <v>1</v>
      </c>
      <c r="BN11" s="70">
        <v>1668.6</v>
      </c>
      <c r="BO11" s="71">
        <v>1072.61</v>
      </c>
      <c r="BP11" s="58">
        <f t="shared" si="17"/>
        <v>0.39129070738834304</v>
      </c>
      <c r="BQ11" s="208">
        <v>1</v>
      </c>
      <c r="BR11" s="209">
        <v>1</v>
      </c>
      <c r="BS11" s="62">
        <f>19907819.13/1000</f>
        <v>19907.81913</v>
      </c>
      <c r="BT11" s="72">
        <f t="shared" si="18"/>
        <v>0.4724512280093883</v>
      </c>
      <c r="BU11" s="211">
        <f t="shared" si="19"/>
        <v>0.9449024560187766</v>
      </c>
      <c r="BV11" s="169">
        <v>0.6248778528749858</v>
      </c>
      <c r="BW11" s="214">
        <f t="shared" si="20"/>
        <v>0.9937512214712502</v>
      </c>
      <c r="BX11" s="219">
        <f>2+3+2</f>
        <v>7</v>
      </c>
      <c r="BY11" s="214">
        <f t="shared" si="21"/>
        <v>0.41666666666666663</v>
      </c>
      <c r="BZ11" s="224">
        <v>1</v>
      </c>
      <c r="CA11" s="33">
        <v>0</v>
      </c>
      <c r="CB11" s="224">
        <v>1</v>
      </c>
      <c r="CC11" s="221">
        <f t="shared" si="22"/>
        <v>0.75</v>
      </c>
      <c r="CD11" s="225">
        <v>2</v>
      </c>
      <c r="CE11" s="223">
        <v>0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12</v>
      </c>
      <c r="CM11" s="221">
        <f t="shared" si="26"/>
        <v>0.25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1</v>
      </c>
      <c r="CS11" s="209">
        <f t="shared" si="29"/>
        <v>0.6666666666666667</v>
      </c>
      <c r="CT11" s="224">
        <v>1</v>
      </c>
      <c r="CU11" s="33">
        <f t="shared" si="30"/>
        <v>0</v>
      </c>
      <c r="CV11" s="219">
        <f>2+3+2+2</f>
        <v>9</v>
      </c>
      <c r="CW11" s="239">
        <f t="shared" si="31"/>
        <v>0.18181818181818177</v>
      </c>
      <c r="CX11" s="219">
        <v>2</v>
      </c>
      <c r="CY11" s="214">
        <f t="shared" si="32"/>
        <v>0.75</v>
      </c>
      <c r="CZ11" s="241">
        <f t="shared" si="33"/>
        <v>13</v>
      </c>
      <c r="DA11" s="214">
        <f t="shared" si="34"/>
        <v>0.40909090909090906</v>
      </c>
      <c r="DB11" s="252">
        <v>0</v>
      </c>
      <c r="DC11" s="253">
        <v>1</v>
      </c>
      <c r="DD11" s="224">
        <v>1</v>
      </c>
      <c r="DE11" s="251">
        <f t="shared" si="35"/>
        <v>0.9285714285714286</v>
      </c>
      <c r="DF11" s="70">
        <v>21</v>
      </c>
      <c r="DG11" s="209">
        <f t="shared" si="36"/>
        <v>0.5333333333333333</v>
      </c>
      <c r="DH11" s="62">
        <v>1</v>
      </c>
      <c r="DI11" s="253">
        <v>0</v>
      </c>
      <c r="DJ11" s="224">
        <v>3</v>
      </c>
      <c r="DK11" s="260">
        <v>0.5</v>
      </c>
      <c r="DL11" s="220">
        <f t="shared" si="37"/>
        <v>26</v>
      </c>
      <c r="DM11" s="259">
        <f t="shared" si="38"/>
        <v>0.5737704918032787</v>
      </c>
      <c r="DN11" s="175">
        <v>415</v>
      </c>
      <c r="DO11" s="166">
        <f>1-DN11/(2079)*100/100</f>
        <v>0.8003848003848004</v>
      </c>
      <c r="DP11" s="66">
        <v>1</v>
      </c>
      <c r="DQ11" s="28">
        <f t="shared" si="39"/>
        <v>0.75</v>
      </c>
      <c r="DR11" s="45">
        <v>1</v>
      </c>
      <c r="DS11" s="28">
        <v>1</v>
      </c>
      <c r="DT11" s="75"/>
      <c r="DU11" s="45">
        <v>1</v>
      </c>
      <c r="DV11" s="28">
        <v>1</v>
      </c>
      <c r="DW11" s="46"/>
      <c r="DX11" s="45">
        <v>1</v>
      </c>
      <c r="DY11" s="28">
        <v>1</v>
      </c>
      <c r="DZ11" s="76"/>
      <c r="EA11" s="45">
        <v>1</v>
      </c>
      <c r="EB11" s="69">
        <v>1</v>
      </c>
      <c r="EC11" s="49"/>
      <c r="ED11" s="49">
        <v>1</v>
      </c>
      <c r="EE11" s="69">
        <v>1</v>
      </c>
      <c r="EF11" s="49"/>
      <c r="EG11" s="49">
        <v>1</v>
      </c>
      <c r="EH11" s="172">
        <v>1</v>
      </c>
      <c r="EI11" s="75"/>
      <c r="EJ11" s="49"/>
      <c r="EK11" s="158"/>
      <c r="EL11" s="176"/>
      <c r="EM11" s="174"/>
      <c r="EN11" s="50">
        <f t="shared" si="40"/>
        <v>24.140337753910448</v>
      </c>
      <c r="EO11" s="24">
        <f t="shared" si="41"/>
        <v>2</v>
      </c>
      <c r="EP11" s="51">
        <f t="shared" si="42"/>
        <v>0.6333333333333329</v>
      </c>
      <c r="EQ11" s="52" t="s">
        <v>116</v>
      </c>
      <c r="ER11" s="77" t="s">
        <v>119</v>
      </c>
    </row>
    <row r="12" spans="1:148" s="54" customFormat="1" ht="18.75">
      <c r="A12" s="55">
        <f t="shared" si="0"/>
        <v>3</v>
      </c>
      <c r="B12" s="56" t="s">
        <v>129</v>
      </c>
      <c r="C12" s="57">
        <v>0</v>
      </c>
      <c r="D12" s="158">
        <v>1</v>
      </c>
      <c r="E12" s="57">
        <v>0</v>
      </c>
      <c r="F12" s="158">
        <v>1</v>
      </c>
      <c r="G12" s="189">
        <v>6275</v>
      </c>
      <c r="H12" s="185">
        <v>5428.92876</v>
      </c>
      <c r="I12" s="58">
        <f t="shared" si="1"/>
        <v>0.13483207011952195</v>
      </c>
      <c r="J12" s="151">
        <v>0.3</v>
      </c>
      <c r="K12" s="189">
        <v>5428.92876</v>
      </c>
      <c r="L12" s="185">
        <v>15077.94724</v>
      </c>
      <c r="M12" s="58">
        <f t="shared" si="2"/>
        <v>0.36005755117630983</v>
      </c>
      <c r="N12" s="59">
        <v>0.5</v>
      </c>
      <c r="O12" s="189">
        <v>5428.92876</v>
      </c>
      <c r="P12" s="185">
        <v>4726.30064</v>
      </c>
      <c r="Q12" s="58">
        <f t="shared" si="3"/>
        <v>1.1486634417737758</v>
      </c>
      <c r="R12" s="28">
        <v>1</v>
      </c>
      <c r="S12" s="189">
        <v>5428.92876</v>
      </c>
      <c r="T12" s="185">
        <v>3191.11332</v>
      </c>
      <c r="U12" s="61">
        <f t="shared" si="4"/>
        <v>1.7012647987066782</v>
      </c>
      <c r="V12" s="155">
        <v>1</v>
      </c>
      <c r="W12" s="189">
        <v>377.3116</v>
      </c>
      <c r="X12" s="185">
        <v>424.1497</v>
      </c>
      <c r="Y12" s="61">
        <f t="shared" si="5"/>
        <v>1.1241363901878447</v>
      </c>
      <c r="Z12" s="155">
        <v>0</v>
      </c>
      <c r="AA12" s="189">
        <v>424.1497</v>
      </c>
      <c r="AB12" s="185">
        <v>4601.91146</v>
      </c>
      <c r="AC12" s="61">
        <f t="shared" si="6"/>
        <v>0.09216815744647117</v>
      </c>
      <c r="AD12" s="181">
        <f t="shared" si="7"/>
        <v>0.9078318425535288</v>
      </c>
      <c r="AE12" s="184">
        <v>9649.01848</v>
      </c>
      <c r="AF12" s="185">
        <v>15077.94724</v>
      </c>
      <c r="AG12" s="185">
        <v>230</v>
      </c>
      <c r="AH12" s="58">
        <f t="shared" si="8"/>
        <v>0.649855385666093</v>
      </c>
      <c r="AI12" s="60">
        <v>0.5</v>
      </c>
      <c r="AJ12" s="195">
        <v>7.5</v>
      </c>
      <c r="AK12" s="196">
        <v>438.4</v>
      </c>
      <c r="AL12" s="196">
        <f t="shared" si="9"/>
        <v>-430.9</v>
      </c>
      <c r="AM12" s="147">
        <v>1</v>
      </c>
      <c r="AN12" s="62">
        <v>2301.6</v>
      </c>
      <c r="AO12" s="62">
        <v>3100.6</v>
      </c>
      <c r="AP12" s="63">
        <f t="shared" si="10"/>
        <v>0.7423079403986325</v>
      </c>
      <c r="AQ12" s="64">
        <v>1</v>
      </c>
      <c r="AR12" s="65">
        <f>AT12*100/AT39</f>
        <v>3.628237668708674</v>
      </c>
      <c r="AS12" s="144">
        <v>13884.46</v>
      </c>
      <c r="AT12" s="62">
        <v>13884.5</v>
      </c>
      <c r="AU12" s="62">
        <v>6503.8</v>
      </c>
      <c r="AV12" s="26">
        <f t="shared" si="11"/>
        <v>0.46842297071690225</v>
      </c>
      <c r="AW12" s="203">
        <v>1</v>
      </c>
      <c r="AX12" s="62">
        <v>2258.79</v>
      </c>
      <c r="AY12" s="66">
        <f t="shared" si="12"/>
        <v>98.13998957247132</v>
      </c>
      <c r="AZ12" s="66">
        <f t="shared" si="13"/>
        <v>34.73031151019404</v>
      </c>
      <c r="BA12" s="203">
        <v>0</v>
      </c>
      <c r="BB12" s="203">
        <v>1</v>
      </c>
      <c r="BC12" s="67">
        <v>4344</v>
      </c>
      <c r="BD12" s="31">
        <f>AS12*1000/BC12</f>
        <v>3196.2384898710866</v>
      </c>
      <c r="BE12" s="63">
        <f>BD12/BD42*100%</f>
        <v>0.8254216916584636</v>
      </c>
      <c r="BF12" s="203">
        <v>0.8</v>
      </c>
      <c r="BG12" s="68">
        <f>BD12*100/BD39</f>
        <v>82.54216916584636</v>
      </c>
      <c r="BH12" s="69">
        <f t="shared" si="14"/>
        <v>158.001913451512</v>
      </c>
      <c r="BI12" s="69">
        <f t="shared" si="15"/>
        <v>26.191595232093345</v>
      </c>
      <c r="BJ12" s="62">
        <f>3636572.04/1000</f>
        <v>3636.57204</v>
      </c>
      <c r="BK12" s="66">
        <f t="shared" si="16"/>
        <v>837.1482596685083</v>
      </c>
      <c r="BL12" s="58">
        <f>BK12/BK42*100%</f>
        <v>1.2247817752818697</v>
      </c>
      <c r="BM12" s="205">
        <v>1</v>
      </c>
      <c r="BN12" s="70">
        <v>1246.7</v>
      </c>
      <c r="BO12" s="71">
        <v>128.08</v>
      </c>
      <c r="BP12" s="58">
        <f t="shared" si="17"/>
        <v>0.0931639971486347</v>
      </c>
      <c r="BQ12" s="208">
        <v>1</v>
      </c>
      <c r="BR12" s="209">
        <v>1</v>
      </c>
      <c r="BS12" s="62">
        <f>143700/1000</f>
        <v>143.7</v>
      </c>
      <c r="BT12" s="72">
        <f t="shared" si="18"/>
        <v>0.010349670495876696</v>
      </c>
      <c r="BU12" s="211">
        <f t="shared" si="19"/>
        <v>0.02069934099175339</v>
      </c>
      <c r="BV12" s="169">
        <v>0</v>
      </c>
      <c r="BW12" s="214">
        <f t="shared" si="20"/>
        <v>1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1</v>
      </c>
      <c r="CC12" s="221">
        <f t="shared" si="22"/>
        <v>0.75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8</v>
      </c>
      <c r="CM12" s="221">
        <f t="shared" si="26"/>
        <v>0.5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>
        <f>4+2+1+3</f>
        <v>10</v>
      </c>
      <c r="CW12" s="239">
        <f t="shared" si="31"/>
        <v>0.09090909090909094</v>
      </c>
      <c r="CX12" s="219">
        <v>6</v>
      </c>
      <c r="CY12" s="214">
        <f t="shared" si="32"/>
        <v>0.25</v>
      </c>
      <c r="CZ12" s="241">
        <f t="shared" si="33"/>
        <v>16</v>
      </c>
      <c r="DA12" s="214">
        <f t="shared" si="34"/>
        <v>0.2727272727272727</v>
      </c>
      <c r="DB12" s="252">
        <v>1</v>
      </c>
      <c r="DC12" s="253">
        <v>0.5</v>
      </c>
      <c r="DD12" s="224">
        <v>3</v>
      </c>
      <c r="DE12" s="251">
        <f t="shared" si="35"/>
        <v>0.7857142857142857</v>
      </c>
      <c r="DF12" s="70">
        <v>3</v>
      </c>
      <c r="DG12" s="209">
        <f t="shared" si="36"/>
        <v>0.9333333333333333</v>
      </c>
      <c r="DH12" s="62">
        <v>1</v>
      </c>
      <c r="DI12" s="253">
        <v>0</v>
      </c>
      <c r="DJ12" s="224">
        <v>5</v>
      </c>
      <c r="DK12" s="260">
        <v>0.16</v>
      </c>
      <c r="DL12" s="220">
        <f t="shared" si="37"/>
        <v>13</v>
      </c>
      <c r="DM12" s="259">
        <f t="shared" si="38"/>
        <v>0.7868852459016393</v>
      </c>
      <c r="DN12" s="175">
        <v>98</v>
      </c>
      <c r="DO12" s="166">
        <f>1-DN12/(977)*100/100</f>
        <v>0.8996929375639713</v>
      </c>
      <c r="DP12" s="66">
        <v>1</v>
      </c>
      <c r="DQ12" s="28">
        <f t="shared" si="39"/>
        <v>0.75</v>
      </c>
      <c r="DR12" s="45">
        <v>1</v>
      </c>
      <c r="DS12" s="28">
        <v>1</v>
      </c>
      <c r="DT12" s="75"/>
      <c r="DU12" s="45">
        <v>1</v>
      </c>
      <c r="DV12" s="28">
        <v>1</v>
      </c>
      <c r="DW12" s="46"/>
      <c r="DX12" s="45">
        <v>1</v>
      </c>
      <c r="DY12" s="28">
        <v>1</v>
      </c>
      <c r="DZ12" s="76"/>
      <c r="EA12" s="45">
        <v>1</v>
      </c>
      <c r="EB12" s="69">
        <v>1</v>
      </c>
      <c r="EC12" s="49"/>
      <c r="ED12" s="49">
        <v>1</v>
      </c>
      <c r="EE12" s="69">
        <v>1</v>
      </c>
      <c r="EF12" s="49"/>
      <c r="EG12" s="49">
        <v>1</v>
      </c>
      <c r="EH12" s="172">
        <v>1</v>
      </c>
      <c r="EI12" s="75"/>
      <c r="EJ12" s="49"/>
      <c r="EK12" s="158"/>
      <c r="EL12" s="176"/>
      <c r="EM12" s="174"/>
      <c r="EN12" s="50">
        <f t="shared" si="40"/>
        <v>23.237836639738163</v>
      </c>
      <c r="EO12" s="24">
        <f t="shared" si="41"/>
        <v>3</v>
      </c>
      <c r="EP12" s="51">
        <f t="shared" si="42"/>
        <v>0.6333333333333329</v>
      </c>
      <c r="EQ12" s="53" t="s">
        <v>117</v>
      </c>
      <c r="ER12" s="77" t="s">
        <v>119</v>
      </c>
    </row>
    <row r="13" spans="1:148" s="54" customFormat="1" ht="18.75">
      <c r="A13" s="55">
        <f t="shared" si="0"/>
        <v>4</v>
      </c>
      <c r="B13" s="56" t="s">
        <v>120</v>
      </c>
      <c r="C13" s="57">
        <v>0</v>
      </c>
      <c r="D13" s="158">
        <v>1</v>
      </c>
      <c r="E13" s="57">
        <v>0</v>
      </c>
      <c r="F13" s="158">
        <v>1</v>
      </c>
      <c r="G13" s="189">
        <v>4544</v>
      </c>
      <c r="H13" s="185">
        <v>8996.86131</v>
      </c>
      <c r="I13" s="58">
        <f t="shared" si="1"/>
        <v>-0.9799430699823944</v>
      </c>
      <c r="J13" s="151">
        <v>0</v>
      </c>
      <c r="K13" s="189">
        <v>8996.86131</v>
      </c>
      <c r="L13" s="185">
        <v>24406.39571</v>
      </c>
      <c r="M13" s="58">
        <f t="shared" si="2"/>
        <v>0.36862719989063064</v>
      </c>
      <c r="N13" s="59">
        <v>0.5</v>
      </c>
      <c r="O13" s="189">
        <v>8996.86131</v>
      </c>
      <c r="P13" s="185">
        <v>8996.86131</v>
      </c>
      <c r="Q13" s="58">
        <f t="shared" si="3"/>
        <v>1</v>
      </c>
      <c r="R13" s="28">
        <v>1</v>
      </c>
      <c r="S13" s="189">
        <v>8996.86131</v>
      </c>
      <c r="T13" s="185">
        <v>6280.87107</v>
      </c>
      <c r="U13" s="61">
        <f t="shared" si="4"/>
        <v>1.432422542945146</v>
      </c>
      <c r="V13" s="155">
        <v>1</v>
      </c>
      <c r="W13" s="189">
        <v>2512.5522</v>
      </c>
      <c r="X13" s="185">
        <v>2219.3494</v>
      </c>
      <c r="Y13" s="61">
        <f t="shared" si="5"/>
        <v>0.883304792632766</v>
      </c>
      <c r="Z13" s="155">
        <v>0.1</v>
      </c>
      <c r="AA13" s="189">
        <v>2219.3494</v>
      </c>
      <c r="AB13" s="185">
        <v>7156.39471</v>
      </c>
      <c r="AC13" s="61">
        <f t="shared" si="6"/>
        <v>0.31012115596402035</v>
      </c>
      <c r="AD13" s="181">
        <f t="shared" si="7"/>
        <v>0.6898788440359797</v>
      </c>
      <c r="AE13" s="184">
        <v>15409.5344</v>
      </c>
      <c r="AF13" s="185">
        <v>24406.39571</v>
      </c>
      <c r="AG13" s="185">
        <v>245.64</v>
      </c>
      <c r="AH13" s="58">
        <f t="shared" si="8"/>
        <v>0.6377919045645613</v>
      </c>
      <c r="AI13" s="60">
        <v>0.5</v>
      </c>
      <c r="AJ13" s="195">
        <v>-260.2</v>
      </c>
      <c r="AK13" s="196">
        <v>-216.6</v>
      </c>
      <c r="AL13" s="196">
        <f t="shared" si="9"/>
        <v>-43.599999999999994</v>
      </c>
      <c r="AM13" s="147">
        <v>1</v>
      </c>
      <c r="AN13" s="62">
        <v>3088.2</v>
      </c>
      <c r="AO13" s="62">
        <v>3445.2</v>
      </c>
      <c r="AP13" s="63">
        <f t="shared" si="10"/>
        <v>0.8963775687913619</v>
      </c>
      <c r="AQ13" s="64">
        <v>1</v>
      </c>
      <c r="AR13" s="65">
        <f>AT13*100/AT39</f>
        <v>6.159837921557734</v>
      </c>
      <c r="AS13" s="144">
        <v>23572.44</v>
      </c>
      <c r="AT13" s="62">
        <v>23572.4</v>
      </c>
      <c r="AU13" s="62">
        <v>6348.7</v>
      </c>
      <c r="AV13" s="26">
        <f t="shared" si="11"/>
        <v>0.2693272312921361</v>
      </c>
      <c r="AW13" s="203">
        <v>1</v>
      </c>
      <c r="AX13" s="62">
        <v>3082.51</v>
      </c>
      <c r="AY13" s="66">
        <f t="shared" si="12"/>
        <v>99.81575027524124</v>
      </c>
      <c r="AZ13" s="66">
        <f t="shared" si="13"/>
        <v>48.553404634019564</v>
      </c>
      <c r="BA13" s="203">
        <v>0</v>
      </c>
      <c r="BB13" s="203">
        <v>1</v>
      </c>
      <c r="BC13" s="67">
        <v>4701</v>
      </c>
      <c r="BD13" s="31">
        <f>AT13*1000/BC13</f>
        <v>5014.33737502659</v>
      </c>
      <c r="BE13" s="63">
        <f>BD13/BD39*100%</f>
        <v>1.294941804798691</v>
      </c>
      <c r="BF13" s="203">
        <v>1</v>
      </c>
      <c r="BG13" s="68">
        <f>BD13*100/BD39</f>
        <v>129.4941804798691</v>
      </c>
      <c r="BH13" s="69">
        <f t="shared" si="14"/>
        <v>117.30002266692573</v>
      </c>
      <c r="BI13" s="69">
        <f t="shared" si="15"/>
        <v>15.367375829359759</v>
      </c>
      <c r="BJ13" s="62">
        <f>3622459.3/1000</f>
        <v>3622.4593</v>
      </c>
      <c r="BK13" s="66">
        <f t="shared" si="16"/>
        <v>770.5720697723888</v>
      </c>
      <c r="BL13" s="58">
        <f>BK13/BK39*100%</f>
        <v>1.1273781157619172</v>
      </c>
      <c r="BM13" s="205">
        <v>1</v>
      </c>
      <c r="BN13" s="70">
        <v>884.6</v>
      </c>
      <c r="BO13" s="73">
        <v>358.02</v>
      </c>
      <c r="BP13" s="58">
        <f t="shared" si="17"/>
        <v>0.2881170430220019</v>
      </c>
      <c r="BQ13" s="208">
        <v>1</v>
      </c>
      <c r="BR13" s="209">
        <v>1</v>
      </c>
      <c r="BS13" s="62">
        <v>0</v>
      </c>
      <c r="BT13" s="72">
        <f t="shared" si="18"/>
        <v>0</v>
      </c>
      <c r="BU13" s="211">
        <f t="shared" si="19"/>
        <v>0</v>
      </c>
      <c r="BV13" s="169">
        <v>3.9168938933461397</v>
      </c>
      <c r="BW13" s="214">
        <f t="shared" si="20"/>
        <v>0.9608310610665386</v>
      </c>
      <c r="BX13" s="219">
        <f>3+2+2</f>
        <v>7</v>
      </c>
      <c r="BY13" s="214">
        <f t="shared" si="21"/>
        <v>0.41666666666666663</v>
      </c>
      <c r="BZ13" s="224">
        <v>0</v>
      </c>
      <c r="CA13" s="33">
        <v>1</v>
      </c>
      <c r="CB13" s="224">
        <v>0</v>
      </c>
      <c r="CC13" s="221">
        <f t="shared" si="22"/>
        <v>1</v>
      </c>
      <c r="CD13" s="225">
        <v>0</v>
      </c>
      <c r="CE13" s="223">
        <f>1-CD13/1</f>
        <v>1</v>
      </c>
      <c r="CF13" s="70"/>
      <c r="CG13" s="221">
        <f t="shared" si="23"/>
        <v>1</v>
      </c>
      <c r="CH13" s="73"/>
      <c r="CI13" s="48"/>
      <c r="CJ13" s="31"/>
      <c r="CK13" s="221">
        <f t="shared" si="24"/>
        <v>1</v>
      </c>
      <c r="CL13" s="240">
        <f t="shared" si="25"/>
        <v>7</v>
      </c>
      <c r="CM13" s="221">
        <f t="shared" si="26"/>
        <v>0.5625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0</v>
      </c>
      <c r="CS13" s="209">
        <f t="shared" si="29"/>
        <v>1</v>
      </c>
      <c r="CT13" s="224">
        <v>0</v>
      </c>
      <c r="CU13" s="33">
        <f t="shared" si="30"/>
        <v>1</v>
      </c>
      <c r="CV13" s="219">
        <f>2+4+2+1</f>
        <v>9</v>
      </c>
      <c r="CW13" s="239">
        <f t="shared" si="31"/>
        <v>0.18181818181818177</v>
      </c>
      <c r="CX13" s="219">
        <v>2</v>
      </c>
      <c r="CY13" s="214">
        <f t="shared" si="32"/>
        <v>0.75</v>
      </c>
      <c r="CZ13" s="241">
        <f t="shared" si="33"/>
        <v>11</v>
      </c>
      <c r="DA13" s="214">
        <f t="shared" si="34"/>
        <v>0.5</v>
      </c>
      <c r="DB13" s="252">
        <v>0</v>
      </c>
      <c r="DC13" s="253">
        <v>1</v>
      </c>
      <c r="DD13" s="224">
        <v>5</v>
      </c>
      <c r="DE13" s="251">
        <f t="shared" si="35"/>
        <v>0.6428571428571428</v>
      </c>
      <c r="DF13" s="70">
        <v>32</v>
      </c>
      <c r="DG13" s="209">
        <f t="shared" si="36"/>
        <v>0.28888888888888886</v>
      </c>
      <c r="DH13" s="62">
        <v>1</v>
      </c>
      <c r="DI13" s="253">
        <v>0</v>
      </c>
      <c r="DJ13" s="224">
        <v>2</v>
      </c>
      <c r="DK13" s="260">
        <v>0.66</v>
      </c>
      <c r="DL13" s="220">
        <f t="shared" si="37"/>
        <v>40</v>
      </c>
      <c r="DM13" s="259">
        <f t="shared" si="38"/>
        <v>0.34426229508196726</v>
      </c>
      <c r="DN13" s="175">
        <v>414</v>
      </c>
      <c r="DO13" s="166">
        <f>1-DN13/(2071)*100/100</f>
        <v>0.8000965717044906</v>
      </c>
      <c r="DP13" s="66">
        <v>1</v>
      </c>
      <c r="DQ13" s="28">
        <f t="shared" si="39"/>
        <v>0.75</v>
      </c>
      <c r="DR13" s="45">
        <v>1</v>
      </c>
      <c r="DS13" s="28">
        <v>1</v>
      </c>
      <c r="DT13" s="75"/>
      <c r="DU13" s="45">
        <v>1</v>
      </c>
      <c r="DV13" s="28">
        <v>1</v>
      </c>
      <c r="DW13" s="46"/>
      <c r="DX13" s="45">
        <v>1</v>
      </c>
      <c r="DY13" s="28">
        <v>1</v>
      </c>
      <c r="DZ13" s="76"/>
      <c r="EA13" s="45">
        <v>1</v>
      </c>
      <c r="EB13" s="69">
        <v>1</v>
      </c>
      <c r="EC13" s="49"/>
      <c r="ED13" s="49">
        <v>1</v>
      </c>
      <c r="EE13" s="69">
        <v>1</v>
      </c>
      <c r="EF13" s="49"/>
      <c r="EG13" s="49">
        <v>1</v>
      </c>
      <c r="EH13" s="172">
        <v>1</v>
      </c>
      <c r="EI13" s="75"/>
      <c r="EJ13" s="49"/>
      <c r="EK13" s="158"/>
      <c r="EL13" s="176"/>
      <c r="EM13" s="174"/>
      <c r="EN13" s="50">
        <f t="shared" si="40"/>
        <v>22.707568771888972</v>
      </c>
      <c r="EO13" s="24">
        <f t="shared" si="41"/>
        <v>4</v>
      </c>
      <c r="EP13" s="51">
        <f t="shared" si="42"/>
        <v>0.6333333333333329</v>
      </c>
      <c r="EQ13" s="53" t="s">
        <v>117</v>
      </c>
      <c r="ER13" s="77" t="s">
        <v>117</v>
      </c>
    </row>
    <row r="14" spans="1:148" s="54" customFormat="1" ht="18.75">
      <c r="A14" s="55">
        <f t="shared" si="0"/>
        <v>5</v>
      </c>
      <c r="B14" s="56" t="s">
        <v>141</v>
      </c>
      <c r="C14" s="57">
        <v>0</v>
      </c>
      <c r="D14" s="158">
        <v>1</v>
      </c>
      <c r="E14" s="57">
        <v>0</v>
      </c>
      <c r="F14" s="158">
        <v>1</v>
      </c>
      <c r="G14" s="189">
        <v>5996</v>
      </c>
      <c r="H14" s="185">
        <v>5301.47</v>
      </c>
      <c r="I14" s="58">
        <f t="shared" si="1"/>
        <v>0.11583222148098728</v>
      </c>
      <c r="J14" s="151">
        <f>100%-I14/20%</f>
        <v>0.4208388925950637</v>
      </c>
      <c r="K14" s="189">
        <v>5301.47</v>
      </c>
      <c r="L14" s="185">
        <v>12662.54291</v>
      </c>
      <c r="M14" s="58">
        <f t="shared" si="2"/>
        <v>0.4186734084678415</v>
      </c>
      <c r="N14" s="59">
        <v>0.5</v>
      </c>
      <c r="O14" s="189">
        <v>5301.47</v>
      </c>
      <c r="P14" s="185">
        <v>5321.31134</v>
      </c>
      <c r="Q14" s="58">
        <f t="shared" si="3"/>
        <v>0.9962713438977243</v>
      </c>
      <c r="R14" s="28">
        <v>1</v>
      </c>
      <c r="S14" s="189">
        <v>5301.47</v>
      </c>
      <c r="T14" s="185">
        <v>4426.03785</v>
      </c>
      <c r="U14" s="61">
        <f t="shared" si="4"/>
        <v>1.197791383550866</v>
      </c>
      <c r="V14" s="155">
        <v>1</v>
      </c>
      <c r="W14" s="189">
        <v>698.2738</v>
      </c>
      <c r="X14" s="185">
        <v>427.549</v>
      </c>
      <c r="Y14" s="61">
        <f t="shared" si="5"/>
        <v>0.6122942032194247</v>
      </c>
      <c r="Z14" s="155">
        <v>0.38</v>
      </c>
      <c r="AA14" s="189">
        <v>427.549</v>
      </c>
      <c r="AB14" s="185">
        <v>3805.97084</v>
      </c>
      <c r="AC14" s="61">
        <f t="shared" si="6"/>
        <v>0.11233638353361634</v>
      </c>
      <c r="AD14" s="181">
        <f t="shared" si="7"/>
        <v>0.8876636164663837</v>
      </c>
      <c r="AE14" s="184">
        <v>7361.07291</v>
      </c>
      <c r="AF14" s="185">
        <v>12662.54291</v>
      </c>
      <c r="AG14" s="185">
        <v>76.82</v>
      </c>
      <c r="AH14" s="58">
        <f t="shared" si="8"/>
        <v>0.5848748588093617</v>
      </c>
      <c r="AI14" s="60">
        <v>0.5</v>
      </c>
      <c r="AJ14" s="195">
        <v>1013.2</v>
      </c>
      <c r="AK14" s="196">
        <v>207.9</v>
      </c>
      <c r="AL14" s="196">
        <f t="shared" si="9"/>
        <v>805.3000000000001</v>
      </c>
      <c r="AM14" s="147">
        <v>0</v>
      </c>
      <c r="AN14" s="62">
        <v>1995.5</v>
      </c>
      <c r="AO14" s="62">
        <v>2082.9</v>
      </c>
      <c r="AP14" s="63">
        <f t="shared" si="10"/>
        <v>0.9580392721686111</v>
      </c>
      <c r="AQ14" s="64">
        <v>1</v>
      </c>
      <c r="AR14" s="65">
        <f>AT14*100/AT41</f>
        <v>3.3502761714847615</v>
      </c>
      <c r="AS14" s="144">
        <v>12820.82</v>
      </c>
      <c r="AT14" s="62">
        <v>12820.8</v>
      </c>
      <c r="AU14" s="62">
        <v>4831.5</v>
      </c>
      <c r="AV14" s="26">
        <f t="shared" si="11"/>
        <v>0.3768479707226215</v>
      </c>
      <c r="AW14" s="203">
        <v>1</v>
      </c>
      <c r="AX14" s="62">
        <v>1983.28</v>
      </c>
      <c r="AY14" s="66">
        <f t="shared" si="12"/>
        <v>99.38762214983713</v>
      </c>
      <c r="AZ14" s="66">
        <f t="shared" si="13"/>
        <v>41.048949601573014</v>
      </c>
      <c r="BA14" s="203">
        <v>0</v>
      </c>
      <c r="BB14" s="203">
        <v>1</v>
      </c>
      <c r="BC14" s="67">
        <v>1777</v>
      </c>
      <c r="BD14" s="31">
        <f>AS14*1000/BC14</f>
        <v>7214.867754642656</v>
      </c>
      <c r="BE14" s="63">
        <f>BD14/BD41*100%</f>
        <v>1.8632240259923272</v>
      </c>
      <c r="BF14" s="203">
        <v>1</v>
      </c>
      <c r="BG14" s="68">
        <f>BD14*100/BD41</f>
        <v>186.3224025992327</v>
      </c>
      <c r="BH14" s="69">
        <f t="shared" si="14"/>
        <v>72.86539163117013</v>
      </c>
      <c r="BI14" s="69">
        <f t="shared" si="15"/>
        <v>11.341171299762886</v>
      </c>
      <c r="BJ14" s="62">
        <f>1454028.89/1000</f>
        <v>1454.0288899999998</v>
      </c>
      <c r="BK14" s="66">
        <f t="shared" si="16"/>
        <v>818.249234665166</v>
      </c>
      <c r="BL14" s="58">
        <f>BK14/BK41*100%</f>
        <v>1.1971317370391146</v>
      </c>
      <c r="BM14" s="205">
        <v>1</v>
      </c>
      <c r="BN14" s="70">
        <v>497.1</v>
      </c>
      <c r="BO14" s="71">
        <v>151.24</v>
      </c>
      <c r="BP14" s="58">
        <f t="shared" si="17"/>
        <v>0.2332726655767036</v>
      </c>
      <c r="BQ14" s="208">
        <v>1</v>
      </c>
      <c r="BR14" s="209">
        <v>1</v>
      </c>
      <c r="BS14" s="62">
        <f>286547.97/1000</f>
        <v>286.54796999999996</v>
      </c>
      <c r="BT14" s="72">
        <f t="shared" si="18"/>
        <v>0.02235024101460127</v>
      </c>
      <c r="BU14" s="211">
        <f t="shared" si="19"/>
        <v>0.04470048202920254</v>
      </c>
      <c r="BV14" s="169">
        <v>10.094998544601664</v>
      </c>
      <c r="BW14" s="214">
        <f t="shared" si="20"/>
        <v>0.8990500145539834</v>
      </c>
      <c r="BX14" s="219">
        <f>5+3+2</f>
        <v>10</v>
      </c>
      <c r="BY14" s="214">
        <f t="shared" si="21"/>
        <v>0.16666666666666663</v>
      </c>
      <c r="BZ14" s="224">
        <v>1</v>
      </c>
      <c r="CA14" s="33">
        <v>0</v>
      </c>
      <c r="CB14" s="224">
        <v>3</v>
      </c>
      <c r="CC14" s="221">
        <f t="shared" si="22"/>
        <v>0.25</v>
      </c>
      <c r="CD14" s="225">
        <v>1</v>
      </c>
      <c r="CE14" s="223">
        <v>0.5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16</v>
      </c>
      <c r="CM14" s="221">
        <f t="shared" si="26"/>
        <v>0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f>3+3+2+3</f>
        <v>11</v>
      </c>
      <c r="CW14" s="239">
        <f t="shared" si="31"/>
        <v>0</v>
      </c>
      <c r="CX14" s="219">
        <v>8</v>
      </c>
      <c r="CY14" s="214">
        <f t="shared" si="32"/>
        <v>0</v>
      </c>
      <c r="CZ14" s="241">
        <f t="shared" si="33"/>
        <v>19</v>
      </c>
      <c r="DA14" s="214">
        <f t="shared" si="34"/>
        <v>0.13636363636363635</v>
      </c>
      <c r="DB14" s="252">
        <v>1</v>
      </c>
      <c r="DC14" s="253">
        <v>0.5</v>
      </c>
      <c r="DD14" s="224">
        <v>2</v>
      </c>
      <c r="DE14" s="251">
        <f t="shared" si="35"/>
        <v>0.8571428571428572</v>
      </c>
      <c r="DF14" s="70">
        <v>16</v>
      </c>
      <c r="DG14" s="209">
        <f t="shared" si="36"/>
        <v>0.6444444444444444</v>
      </c>
      <c r="DH14" s="62">
        <v>1</v>
      </c>
      <c r="DI14" s="253">
        <v>0</v>
      </c>
      <c r="DJ14" s="224">
        <v>3</v>
      </c>
      <c r="DK14" s="260">
        <v>0.5</v>
      </c>
      <c r="DL14" s="220">
        <f t="shared" si="37"/>
        <v>23</v>
      </c>
      <c r="DM14" s="259">
        <f t="shared" si="38"/>
        <v>0.6229508196721312</v>
      </c>
      <c r="DN14" s="175">
        <v>363</v>
      </c>
      <c r="DO14" s="166">
        <f>1-DN14/(1814)*100/100</f>
        <v>0.7998897464167586</v>
      </c>
      <c r="DP14" s="66">
        <v>0</v>
      </c>
      <c r="DQ14" s="28">
        <f t="shared" si="39"/>
        <v>1</v>
      </c>
      <c r="DR14" s="45">
        <v>1</v>
      </c>
      <c r="DS14" s="28">
        <v>1</v>
      </c>
      <c r="DT14" s="75"/>
      <c r="DU14" s="45">
        <v>1</v>
      </c>
      <c r="DV14" s="28">
        <v>1</v>
      </c>
      <c r="DW14" s="46"/>
      <c r="DX14" s="45">
        <v>1</v>
      </c>
      <c r="DY14" s="28">
        <v>1</v>
      </c>
      <c r="DZ14" s="76"/>
      <c r="EA14" s="45">
        <v>1</v>
      </c>
      <c r="EB14" s="69">
        <v>1</v>
      </c>
      <c r="EC14" s="49"/>
      <c r="ED14" s="49">
        <v>1</v>
      </c>
      <c r="EE14" s="69">
        <v>1</v>
      </c>
      <c r="EF14" s="49"/>
      <c r="EG14" s="49">
        <v>1</v>
      </c>
      <c r="EH14" s="172">
        <v>1</v>
      </c>
      <c r="EI14" s="75"/>
      <c r="EJ14" s="49"/>
      <c r="EK14" s="158"/>
      <c r="EL14" s="176"/>
      <c r="EM14" s="174"/>
      <c r="EN14" s="50">
        <f t="shared" si="40"/>
        <v>22.19145720809716</v>
      </c>
      <c r="EO14" s="24">
        <f t="shared" si="41"/>
        <v>5</v>
      </c>
      <c r="EP14" s="51">
        <f t="shared" si="42"/>
        <v>0.6333333333333329</v>
      </c>
      <c r="EQ14" s="53" t="s">
        <v>117</v>
      </c>
      <c r="ER14" s="77" t="s">
        <v>117</v>
      </c>
    </row>
    <row r="15" spans="1:148" s="54" customFormat="1" ht="18.75">
      <c r="A15" s="55">
        <f t="shared" si="0"/>
        <v>6</v>
      </c>
      <c r="B15" s="56" t="s">
        <v>132</v>
      </c>
      <c r="C15" s="57">
        <v>0</v>
      </c>
      <c r="D15" s="158">
        <v>1</v>
      </c>
      <c r="E15" s="57">
        <v>0</v>
      </c>
      <c r="F15" s="158">
        <v>1</v>
      </c>
      <c r="G15" s="189">
        <v>4224.2</v>
      </c>
      <c r="H15" s="185">
        <v>3488.02004</v>
      </c>
      <c r="I15" s="58">
        <f t="shared" si="1"/>
        <v>0.17427677666777142</v>
      </c>
      <c r="J15" s="151">
        <v>0.1</v>
      </c>
      <c r="K15" s="189">
        <v>3488.02004</v>
      </c>
      <c r="L15" s="185">
        <v>7604.18034</v>
      </c>
      <c r="M15" s="58">
        <f t="shared" si="2"/>
        <v>0.4586977010069175</v>
      </c>
      <c r="N15" s="59">
        <v>0.5</v>
      </c>
      <c r="O15" s="189">
        <v>3488.02004</v>
      </c>
      <c r="P15" s="185">
        <v>3488.02004</v>
      </c>
      <c r="Q15" s="58">
        <f t="shared" si="3"/>
        <v>1</v>
      </c>
      <c r="R15" s="28">
        <v>1</v>
      </c>
      <c r="S15" s="189">
        <v>3488.02004</v>
      </c>
      <c r="T15" s="185">
        <v>2532.50377</v>
      </c>
      <c r="U15" s="61">
        <f t="shared" si="4"/>
        <v>1.3773010256960052</v>
      </c>
      <c r="V15" s="155">
        <v>1</v>
      </c>
      <c r="W15" s="189">
        <v>936.2514</v>
      </c>
      <c r="X15" s="185">
        <v>1144.0694</v>
      </c>
      <c r="Y15" s="61">
        <f t="shared" si="5"/>
        <v>1.2219681594067577</v>
      </c>
      <c r="Z15" s="155">
        <v>0</v>
      </c>
      <c r="AA15" s="189">
        <v>1144.0694</v>
      </c>
      <c r="AB15" s="185">
        <v>2645.42102</v>
      </c>
      <c r="AC15" s="61">
        <f t="shared" si="6"/>
        <v>0.43247157686832016</v>
      </c>
      <c r="AD15" s="181">
        <f t="shared" si="7"/>
        <v>0.5675284231316798</v>
      </c>
      <c r="AE15" s="184">
        <v>4116.1603</v>
      </c>
      <c r="AF15" s="185">
        <v>7604.18034</v>
      </c>
      <c r="AG15" s="185">
        <v>131.1</v>
      </c>
      <c r="AH15" s="58">
        <f t="shared" si="8"/>
        <v>0.550798347231471</v>
      </c>
      <c r="AI15" s="60">
        <v>0.5</v>
      </c>
      <c r="AJ15" s="195">
        <v>499.3</v>
      </c>
      <c r="AK15" s="196">
        <v>103.9</v>
      </c>
      <c r="AL15" s="196">
        <f t="shared" si="9"/>
        <v>395.4</v>
      </c>
      <c r="AM15" s="147">
        <v>0</v>
      </c>
      <c r="AN15" s="62">
        <v>1924.1</v>
      </c>
      <c r="AO15" s="62">
        <v>2204.1</v>
      </c>
      <c r="AP15" s="63">
        <f t="shared" si="10"/>
        <v>0.8729640215961163</v>
      </c>
      <c r="AQ15" s="64">
        <v>1</v>
      </c>
      <c r="AR15" s="65">
        <f>AT15*100/AT42</f>
        <v>2.107563286086586</v>
      </c>
      <c r="AS15" s="144">
        <v>8065.24</v>
      </c>
      <c r="AT15" s="62">
        <v>8065.2</v>
      </c>
      <c r="AU15" s="62">
        <v>4377.7</v>
      </c>
      <c r="AV15" s="26">
        <f t="shared" si="11"/>
        <v>0.5427860795215022</v>
      </c>
      <c r="AW15" s="203">
        <v>0.8</v>
      </c>
      <c r="AX15" s="62">
        <v>1878.09</v>
      </c>
      <c r="AY15" s="66">
        <f t="shared" si="12"/>
        <v>97.60875214385948</v>
      </c>
      <c r="AZ15" s="66">
        <f t="shared" si="13"/>
        <v>42.90129520067616</v>
      </c>
      <c r="BA15" s="203">
        <v>0</v>
      </c>
      <c r="BB15" s="203">
        <v>1</v>
      </c>
      <c r="BC15" s="67">
        <v>1840</v>
      </c>
      <c r="BD15" s="31">
        <f>AS15*1000/BC15</f>
        <v>4383.282608695652</v>
      </c>
      <c r="BE15" s="63">
        <f>BD15/BD46*100%</f>
        <v>1.1319732733813035</v>
      </c>
      <c r="BF15" s="203">
        <v>1</v>
      </c>
      <c r="BG15" s="68">
        <f>BD15*100/BD42</f>
        <v>113.19732733813035</v>
      </c>
      <c r="BH15" s="69">
        <f t="shared" si="14"/>
        <v>111.37403565303258</v>
      </c>
      <c r="BI15" s="69">
        <f t="shared" si="15"/>
        <v>26.5702998065764</v>
      </c>
      <c r="BJ15" s="62">
        <f>2142947.82/1000</f>
        <v>2142.94782</v>
      </c>
      <c r="BK15" s="66">
        <f t="shared" si="16"/>
        <v>1164.645554347826</v>
      </c>
      <c r="BL15" s="58">
        <f>BK15/BK46*100%</f>
        <v>1.703923568082318</v>
      </c>
      <c r="BM15" s="205">
        <v>1</v>
      </c>
      <c r="BN15" s="70">
        <v>857.9</v>
      </c>
      <c r="BO15" s="71">
        <v>54.38</v>
      </c>
      <c r="BP15" s="58">
        <f t="shared" si="17"/>
        <v>0.05960889200684001</v>
      </c>
      <c r="BQ15" s="208">
        <v>1</v>
      </c>
      <c r="BR15" s="209">
        <v>1</v>
      </c>
      <c r="BS15" s="62">
        <f>65562.1/1000</f>
        <v>65.5621</v>
      </c>
      <c r="BT15" s="72">
        <f t="shared" si="18"/>
        <v>0.008129011059862124</v>
      </c>
      <c r="BU15" s="211">
        <f t="shared" si="19"/>
        <v>0.01625802211972425</v>
      </c>
      <c r="BV15" s="169">
        <v>0</v>
      </c>
      <c r="BW15" s="214">
        <f t="shared" si="20"/>
        <v>1</v>
      </c>
      <c r="BX15" s="219">
        <f>2+2+1</f>
        <v>5</v>
      </c>
      <c r="BY15" s="214">
        <f t="shared" si="21"/>
        <v>0.5833333333333333</v>
      </c>
      <c r="BZ15" s="224">
        <v>0</v>
      </c>
      <c r="CA15" s="33">
        <v>1</v>
      </c>
      <c r="CB15" s="224">
        <v>0</v>
      </c>
      <c r="CC15" s="221">
        <f t="shared" si="22"/>
        <v>1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/>
      <c r="CK15" s="221">
        <f t="shared" si="24"/>
        <v>1</v>
      </c>
      <c r="CL15" s="240">
        <f t="shared" si="25"/>
        <v>5</v>
      </c>
      <c r="CM15" s="221">
        <f t="shared" si="26"/>
        <v>0.6875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0</v>
      </c>
      <c r="CS15" s="209">
        <f t="shared" si="29"/>
        <v>1</v>
      </c>
      <c r="CT15" s="224">
        <v>1</v>
      </c>
      <c r="CU15" s="33">
        <f t="shared" si="30"/>
        <v>0</v>
      </c>
      <c r="CV15" s="219">
        <f>1+2+2</f>
        <v>5</v>
      </c>
      <c r="CW15" s="239">
        <f t="shared" si="31"/>
        <v>0.5454545454545454</v>
      </c>
      <c r="CX15" s="219">
        <v>0</v>
      </c>
      <c r="CY15" s="214">
        <f t="shared" si="32"/>
        <v>1</v>
      </c>
      <c r="CZ15" s="241">
        <f t="shared" si="33"/>
        <v>6</v>
      </c>
      <c r="DA15" s="214">
        <f t="shared" si="34"/>
        <v>0.7272727272727273</v>
      </c>
      <c r="DB15" s="252">
        <v>0</v>
      </c>
      <c r="DC15" s="253">
        <v>1</v>
      </c>
      <c r="DD15" s="224">
        <v>1</v>
      </c>
      <c r="DE15" s="251">
        <f t="shared" si="35"/>
        <v>0.9285714285714286</v>
      </c>
      <c r="DF15" s="70">
        <v>4</v>
      </c>
      <c r="DG15" s="209">
        <f t="shared" si="36"/>
        <v>0.9111111111111111</v>
      </c>
      <c r="DH15" s="62">
        <v>1</v>
      </c>
      <c r="DI15" s="253">
        <v>0</v>
      </c>
      <c r="DJ15" s="224">
        <v>2</v>
      </c>
      <c r="DK15" s="260">
        <v>0.7</v>
      </c>
      <c r="DL15" s="220">
        <f t="shared" si="37"/>
        <v>8</v>
      </c>
      <c r="DM15" s="259">
        <f t="shared" si="38"/>
        <v>0.8688524590163934</v>
      </c>
      <c r="DN15" s="175">
        <v>145</v>
      </c>
      <c r="DO15" s="166">
        <f>1-DN15/(1450)*100/100</f>
        <v>0.9</v>
      </c>
      <c r="DP15" s="66">
        <v>2</v>
      </c>
      <c r="DQ15" s="28">
        <f t="shared" si="39"/>
        <v>0.5</v>
      </c>
      <c r="DR15" s="45">
        <v>1</v>
      </c>
      <c r="DS15" s="28">
        <v>1</v>
      </c>
      <c r="DT15" s="75"/>
      <c r="DU15" s="45">
        <v>1</v>
      </c>
      <c r="DV15" s="28">
        <v>1</v>
      </c>
      <c r="DW15" s="46"/>
      <c r="DX15" s="45">
        <v>1</v>
      </c>
      <c r="DY15" s="28">
        <v>1</v>
      </c>
      <c r="DZ15" s="76"/>
      <c r="EA15" s="45">
        <v>1</v>
      </c>
      <c r="EB15" s="69">
        <v>1</v>
      </c>
      <c r="EC15" s="49"/>
      <c r="ED15" s="49">
        <v>1</v>
      </c>
      <c r="EE15" s="69">
        <v>1</v>
      </c>
      <c r="EF15" s="49"/>
      <c r="EG15" s="49">
        <v>1</v>
      </c>
      <c r="EH15" s="172">
        <v>1</v>
      </c>
      <c r="EI15" s="75"/>
      <c r="EJ15" s="49"/>
      <c r="EK15" s="158"/>
      <c r="EL15" s="176"/>
      <c r="EM15" s="174"/>
      <c r="EN15" s="50">
        <f t="shared" si="40"/>
        <v>22.167411631540524</v>
      </c>
      <c r="EO15" s="24">
        <f t="shared" si="41"/>
        <v>6</v>
      </c>
      <c r="EP15" s="51">
        <f t="shared" si="42"/>
        <v>0.6333333333333329</v>
      </c>
      <c r="EQ15" s="53" t="s">
        <v>117</v>
      </c>
      <c r="ER15" s="77" t="s">
        <v>117</v>
      </c>
    </row>
    <row r="16" spans="1:148" s="54" customFormat="1" ht="37.5">
      <c r="A16" s="55">
        <f t="shared" si="0"/>
        <v>7</v>
      </c>
      <c r="B16" s="56" t="s">
        <v>140</v>
      </c>
      <c r="C16" s="57">
        <v>0</v>
      </c>
      <c r="D16" s="158">
        <v>1</v>
      </c>
      <c r="E16" s="57">
        <v>0</v>
      </c>
      <c r="F16" s="158">
        <v>1</v>
      </c>
      <c r="G16" s="189">
        <v>6736.713</v>
      </c>
      <c r="H16" s="185">
        <v>6527.9089</v>
      </c>
      <c r="I16" s="58">
        <f t="shared" si="1"/>
        <v>0.030994952582958393</v>
      </c>
      <c r="J16" s="151">
        <v>0.8</v>
      </c>
      <c r="K16" s="189">
        <v>6527.9089</v>
      </c>
      <c r="L16" s="185">
        <v>9039.76762</v>
      </c>
      <c r="M16" s="58">
        <f t="shared" si="2"/>
        <v>0.7221323793276889</v>
      </c>
      <c r="N16" s="159">
        <v>1</v>
      </c>
      <c r="O16" s="189">
        <v>6527.9089</v>
      </c>
      <c r="P16" s="185">
        <v>5464.68899</v>
      </c>
      <c r="Q16" s="58">
        <f t="shared" si="3"/>
        <v>1.1945618336094916</v>
      </c>
      <c r="R16" s="28">
        <v>1</v>
      </c>
      <c r="S16" s="189">
        <v>6527.9089</v>
      </c>
      <c r="T16" s="185">
        <v>3991.50538</v>
      </c>
      <c r="U16" s="61">
        <f t="shared" si="4"/>
        <v>1.6354503573285928</v>
      </c>
      <c r="V16" s="155">
        <v>1</v>
      </c>
      <c r="W16" s="189">
        <v>1846.5892</v>
      </c>
      <c r="X16" s="185">
        <v>2148.6243</v>
      </c>
      <c r="Y16" s="61">
        <f t="shared" si="5"/>
        <v>1.1635637747691798</v>
      </c>
      <c r="Z16" s="155">
        <v>0</v>
      </c>
      <c r="AA16" s="189">
        <v>2148.6243</v>
      </c>
      <c r="AB16" s="185">
        <v>5715.41061</v>
      </c>
      <c r="AC16" s="61">
        <f t="shared" si="6"/>
        <v>0.3759352471090437</v>
      </c>
      <c r="AD16" s="181">
        <f t="shared" si="7"/>
        <v>0.6240647528909563</v>
      </c>
      <c r="AE16" s="184">
        <v>2511.85872</v>
      </c>
      <c r="AF16" s="185">
        <v>9039.76762</v>
      </c>
      <c r="AG16" s="185">
        <v>101.89</v>
      </c>
      <c r="AH16" s="58">
        <f t="shared" si="8"/>
        <v>0.28103525543684943</v>
      </c>
      <c r="AI16" s="158">
        <v>1</v>
      </c>
      <c r="AJ16" s="197">
        <v>374.8</v>
      </c>
      <c r="AK16" s="185">
        <v>342.5</v>
      </c>
      <c r="AL16" s="185">
        <f t="shared" si="9"/>
        <v>32.30000000000001</v>
      </c>
      <c r="AM16" s="147">
        <v>0</v>
      </c>
      <c r="AN16" s="62">
        <v>1863.9</v>
      </c>
      <c r="AO16" s="62">
        <v>2426.5</v>
      </c>
      <c r="AP16" s="63">
        <f t="shared" si="10"/>
        <v>0.7681434164434371</v>
      </c>
      <c r="AQ16" s="64">
        <v>1</v>
      </c>
      <c r="AR16" s="65">
        <f>AT16*100/AT45</f>
        <v>2.097659421515009</v>
      </c>
      <c r="AS16" s="144">
        <v>8027.33</v>
      </c>
      <c r="AT16" s="62">
        <v>8027.3</v>
      </c>
      <c r="AU16" s="62">
        <v>4467.2</v>
      </c>
      <c r="AV16" s="26">
        <f t="shared" si="11"/>
        <v>0.556498860766905</v>
      </c>
      <c r="AW16" s="203">
        <v>0.8</v>
      </c>
      <c r="AX16" s="62">
        <v>1801.28</v>
      </c>
      <c r="AY16" s="66">
        <f t="shared" si="12"/>
        <v>96.64037770266644</v>
      </c>
      <c r="AZ16" s="66">
        <f t="shared" si="13"/>
        <v>40.32234957020057</v>
      </c>
      <c r="BA16" s="203">
        <v>0</v>
      </c>
      <c r="BB16" s="203">
        <v>1</v>
      </c>
      <c r="BC16" s="67">
        <v>2213</v>
      </c>
      <c r="BD16" s="31">
        <f>AS16*1000/BC16</f>
        <v>3627.3520108450066</v>
      </c>
      <c r="BE16" s="63">
        <f>BD16/BD45*100%</f>
        <v>0.9367558279899117</v>
      </c>
      <c r="BF16" s="203">
        <v>0.9</v>
      </c>
      <c r="BG16" s="68">
        <f>BD16*100/BD45</f>
        <v>93.67558279899117</v>
      </c>
      <c r="BH16" s="69">
        <f t="shared" si="14"/>
        <v>86.0753216374269</v>
      </c>
      <c r="BI16" s="69">
        <f t="shared" si="15"/>
        <v>19.98627085072191</v>
      </c>
      <c r="BJ16" s="62">
        <f>1604357.92/1000</f>
        <v>1604.35792</v>
      </c>
      <c r="BK16" s="66">
        <f t="shared" si="16"/>
        <v>724.9696882060551</v>
      </c>
      <c r="BL16" s="58">
        <f>BK16/BK45*100%</f>
        <v>1.0606599864379527</v>
      </c>
      <c r="BM16" s="205">
        <v>1</v>
      </c>
      <c r="BN16" s="70">
        <v>322.8</v>
      </c>
      <c r="BO16" s="71">
        <v>195.07</v>
      </c>
      <c r="BP16" s="58">
        <f t="shared" si="17"/>
        <v>0.3766775445575144</v>
      </c>
      <c r="BQ16" s="208">
        <v>1</v>
      </c>
      <c r="BR16" s="209">
        <v>1</v>
      </c>
      <c r="BS16" s="62">
        <v>0</v>
      </c>
      <c r="BT16" s="72">
        <f t="shared" si="18"/>
        <v>0</v>
      </c>
      <c r="BU16" s="211">
        <f t="shared" si="19"/>
        <v>0</v>
      </c>
      <c r="BV16" s="169">
        <v>0</v>
      </c>
      <c r="BW16" s="214">
        <f t="shared" si="20"/>
        <v>1</v>
      </c>
      <c r="BX16" s="219">
        <f>2+2+2</f>
        <v>6</v>
      </c>
      <c r="BY16" s="214">
        <f t="shared" si="21"/>
        <v>0.5</v>
      </c>
      <c r="BZ16" s="224">
        <v>1</v>
      </c>
      <c r="CA16" s="33">
        <v>0</v>
      </c>
      <c r="CB16" s="224">
        <v>2</v>
      </c>
      <c r="CC16" s="221">
        <f t="shared" si="22"/>
        <v>0.5</v>
      </c>
      <c r="CD16" s="225">
        <v>1</v>
      </c>
      <c r="CE16" s="223">
        <v>0.5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10</v>
      </c>
      <c r="CM16" s="221">
        <f t="shared" si="26"/>
        <v>0.375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1</v>
      </c>
      <c r="CS16" s="209">
        <f t="shared" si="29"/>
        <v>0.6666666666666667</v>
      </c>
      <c r="CT16" s="224">
        <v>1</v>
      </c>
      <c r="CU16" s="33">
        <f t="shared" si="30"/>
        <v>0</v>
      </c>
      <c r="CV16" s="219">
        <f>4+2+2+3</f>
        <v>11</v>
      </c>
      <c r="CW16" s="239">
        <f t="shared" si="31"/>
        <v>0</v>
      </c>
      <c r="CX16" s="219">
        <v>2</v>
      </c>
      <c r="CY16" s="214">
        <f t="shared" si="32"/>
        <v>0.75</v>
      </c>
      <c r="CZ16" s="241">
        <f t="shared" si="33"/>
        <v>15</v>
      </c>
      <c r="DA16" s="214">
        <f t="shared" si="34"/>
        <v>0.31818181818181823</v>
      </c>
      <c r="DB16" s="252">
        <v>1</v>
      </c>
      <c r="DC16" s="253">
        <v>0.5</v>
      </c>
      <c r="DD16" s="224">
        <v>7</v>
      </c>
      <c r="DE16" s="251">
        <f t="shared" si="35"/>
        <v>0.5</v>
      </c>
      <c r="DF16" s="70">
        <v>22</v>
      </c>
      <c r="DG16" s="209">
        <f t="shared" si="36"/>
        <v>0.5111111111111111</v>
      </c>
      <c r="DH16" s="62">
        <v>1</v>
      </c>
      <c r="DI16" s="253">
        <v>0</v>
      </c>
      <c r="DJ16" s="224">
        <v>2</v>
      </c>
      <c r="DK16" s="260">
        <v>0.7</v>
      </c>
      <c r="DL16" s="220">
        <f t="shared" si="37"/>
        <v>33</v>
      </c>
      <c r="DM16" s="259">
        <f t="shared" si="38"/>
        <v>0.4590163934426229</v>
      </c>
      <c r="DN16" s="175">
        <v>699</v>
      </c>
      <c r="DO16" s="166">
        <f>1-DN16/(1748)*100/100</f>
        <v>0.6001144164759725</v>
      </c>
      <c r="DP16" s="66">
        <v>3</v>
      </c>
      <c r="DQ16" s="28">
        <f t="shared" si="39"/>
        <v>0.25</v>
      </c>
      <c r="DR16" s="45">
        <v>1</v>
      </c>
      <c r="DS16" s="28">
        <v>1</v>
      </c>
      <c r="DT16" s="75"/>
      <c r="DU16" s="45">
        <v>1</v>
      </c>
      <c r="DV16" s="28">
        <v>1</v>
      </c>
      <c r="DW16" s="46"/>
      <c r="DX16" s="45">
        <v>1</v>
      </c>
      <c r="DY16" s="28">
        <v>1</v>
      </c>
      <c r="DZ16" s="76"/>
      <c r="EA16" s="45">
        <v>1</v>
      </c>
      <c r="EB16" s="69">
        <v>1</v>
      </c>
      <c r="EC16" s="49"/>
      <c r="ED16" s="49">
        <v>1</v>
      </c>
      <c r="EE16" s="69">
        <v>1</v>
      </c>
      <c r="EF16" s="49"/>
      <c r="EG16" s="49">
        <v>1</v>
      </c>
      <c r="EH16" s="172">
        <v>1</v>
      </c>
      <c r="EI16" s="75"/>
      <c r="EJ16" s="49"/>
      <c r="EK16" s="158"/>
      <c r="EL16" s="176"/>
      <c r="EM16" s="174"/>
      <c r="EN16" s="50">
        <f t="shared" si="40"/>
        <v>22.12637738099137</v>
      </c>
      <c r="EO16" s="24">
        <f t="shared" si="41"/>
        <v>7</v>
      </c>
      <c r="EP16" s="51">
        <f t="shared" si="42"/>
        <v>0.6333333333333329</v>
      </c>
      <c r="EQ16" s="53" t="s">
        <v>117</v>
      </c>
      <c r="ER16" s="77" t="s">
        <v>116</v>
      </c>
    </row>
    <row r="17" spans="1:148" s="54" customFormat="1" ht="18.75">
      <c r="A17" s="55">
        <f t="shared" si="0"/>
        <v>8</v>
      </c>
      <c r="B17" s="56" t="s">
        <v>138</v>
      </c>
      <c r="C17" s="57">
        <v>0</v>
      </c>
      <c r="D17" s="158">
        <v>1</v>
      </c>
      <c r="E17" s="57">
        <v>0</v>
      </c>
      <c r="F17" s="158">
        <v>1</v>
      </c>
      <c r="G17" s="189">
        <v>12568.38899</v>
      </c>
      <c r="H17" s="185">
        <v>11657.67713</v>
      </c>
      <c r="I17" s="58">
        <f t="shared" si="1"/>
        <v>0.07246050871950292</v>
      </c>
      <c r="J17" s="151">
        <v>0.6</v>
      </c>
      <c r="K17" s="189">
        <v>11657.67713</v>
      </c>
      <c r="L17" s="185">
        <v>21190.48263</v>
      </c>
      <c r="M17" s="58">
        <f t="shared" si="2"/>
        <v>0.5501374052470083</v>
      </c>
      <c r="N17" s="59">
        <v>0.8</v>
      </c>
      <c r="O17" s="189">
        <v>11657.67713</v>
      </c>
      <c r="P17" s="185">
        <v>11656.91753</v>
      </c>
      <c r="Q17" s="58">
        <f t="shared" si="3"/>
        <v>1.0000651630242767</v>
      </c>
      <c r="R17" s="28">
        <v>1</v>
      </c>
      <c r="S17" s="189">
        <v>11657.67713</v>
      </c>
      <c r="T17" s="185">
        <v>9693.1637</v>
      </c>
      <c r="U17" s="61">
        <f t="shared" si="4"/>
        <v>1.202669994111417</v>
      </c>
      <c r="V17" s="155">
        <v>1</v>
      </c>
      <c r="W17" s="189">
        <v>392.6098</v>
      </c>
      <c r="X17" s="185">
        <v>590.8915</v>
      </c>
      <c r="Y17" s="61">
        <f t="shared" si="5"/>
        <v>1.5050350245969406</v>
      </c>
      <c r="Z17" s="155">
        <v>0</v>
      </c>
      <c r="AA17" s="189">
        <v>590.8915</v>
      </c>
      <c r="AB17" s="185">
        <v>10493.04935</v>
      </c>
      <c r="AC17" s="61">
        <f t="shared" si="6"/>
        <v>0.05631265805492471</v>
      </c>
      <c r="AD17" s="181">
        <f t="shared" si="7"/>
        <v>0.9436873419450753</v>
      </c>
      <c r="AE17" s="184">
        <v>9532.8055</v>
      </c>
      <c r="AF17" s="185">
        <v>21190.48263</v>
      </c>
      <c r="AG17" s="185">
        <v>302.91</v>
      </c>
      <c r="AH17" s="58">
        <f t="shared" si="8"/>
        <v>0.45638646811015304</v>
      </c>
      <c r="AI17" s="60">
        <v>0.8</v>
      </c>
      <c r="AJ17" s="195">
        <v>8191.7</v>
      </c>
      <c r="AK17" s="196">
        <v>238.1</v>
      </c>
      <c r="AL17" s="196">
        <f t="shared" si="9"/>
        <v>7953.599999999999</v>
      </c>
      <c r="AM17" s="147">
        <v>0</v>
      </c>
      <c r="AN17" s="62">
        <v>3403.3</v>
      </c>
      <c r="AO17" s="62">
        <v>3407.8</v>
      </c>
      <c r="AP17" s="63">
        <f t="shared" si="10"/>
        <v>0.9986794999706555</v>
      </c>
      <c r="AQ17" s="64">
        <v>1</v>
      </c>
      <c r="AR17" s="65">
        <f>AT17*100/AT44</f>
        <v>7.129475913095809</v>
      </c>
      <c r="AS17" s="144">
        <v>27282.98</v>
      </c>
      <c r="AT17" s="62">
        <v>27283</v>
      </c>
      <c r="AU17" s="62">
        <v>7418.9</v>
      </c>
      <c r="AV17" s="26">
        <f t="shared" si="11"/>
        <v>0.27192410799700034</v>
      </c>
      <c r="AW17" s="203">
        <v>1</v>
      </c>
      <c r="AX17" s="62">
        <v>3389.12</v>
      </c>
      <c r="AY17" s="66">
        <f t="shared" si="12"/>
        <v>99.58334557635236</v>
      </c>
      <c r="AZ17" s="66">
        <f t="shared" si="13"/>
        <v>45.68224399843643</v>
      </c>
      <c r="BA17" s="203">
        <v>0</v>
      </c>
      <c r="BB17" s="203">
        <v>1</v>
      </c>
      <c r="BC17" s="67">
        <v>5567</v>
      </c>
      <c r="BD17" s="31">
        <f>AS17*1000/BC17</f>
        <v>4900.84066822346</v>
      </c>
      <c r="BE17" s="63">
        <f>BD17/BD46*100%</f>
        <v>1.265631525223501</v>
      </c>
      <c r="BF17" s="203">
        <v>1</v>
      </c>
      <c r="BG17" s="68">
        <f>BD17*100/BD44</f>
        <v>126.56315252235011</v>
      </c>
      <c r="BH17" s="69">
        <f t="shared" si="14"/>
        <v>92.41219345928951</v>
      </c>
      <c r="BI17" s="69">
        <f t="shared" si="15"/>
        <v>11.527559945753767</v>
      </c>
      <c r="BJ17" s="62">
        <f>3145064.18/1000</f>
        <v>3145.0641800000003</v>
      </c>
      <c r="BK17" s="66">
        <f t="shared" si="16"/>
        <v>564.9477600143704</v>
      </c>
      <c r="BL17" s="58">
        <f>BK17/BK46*100%</f>
        <v>0.8265414309359107</v>
      </c>
      <c r="BM17" s="205">
        <v>0</v>
      </c>
      <c r="BN17" s="70">
        <v>0</v>
      </c>
      <c r="BO17" s="71">
        <v>0</v>
      </c>
      <c r="BP17" s="58"/>
      <c r="BQ17" s="208"/>
      <c r="BR17" s="209"/>
      <c r="BS17" s="62">
        <f>3237659.73/1000</f>
        <v>3237.65973</v>
      </c>
      <c r="BT17" s="72">
        <f t="shared" si="18"/>
        <v>0.11866949125829271</v>
      </c>
      <c r="BU17" s="211">
        <f t="shared" si="19"/>
        <v>0.23733898251658542</v>
      </c>
      <c r="BV17" s="169">
        <v>18.75948643022452</v>
      </c>
      <c r="BW17" s="214">
        <f t="shared" si="20"/>
        <v>0.8124051356977549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f>1-BZ17/1</f>
        <v>1</v>
      </c>
      <c r="CB17" s="224">
        <v>1</v>
      </c>
      <c r="CC17" s="221">
        <f t="shared" si="22"/>
        <v>0.75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/>
      <c r="CK17" s="221">
        <f t="shared" si="24"/>
        <v>1</v>
      </c>
      <c r="CL17" s="240">
        <f t="shared" si="25"/>
        <v>6</v>
      </c>
      <c r="CM17" s="221">
        <f t="shared" si="26"/>
        <v>0.625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0</v>
      </c>
      <c r="CU17" s="33">
        <f t="shared" si="30"/>
        <v>1</v>
      </c>
      <c r="CV17" s="219">
        <f>3+3+1+2</f>
        <v>9</v>
      </c>
      <c r="CW17" s="239">
        <f t="shared" si="31"/>
        <v>0.18181818181818177</v>
      </c>
      <c r="CX17" s="219">
        <v>0</v>
      </c>
      <c r="CY17" s="214">
        <f t="shared" si="32"/>
        <v>1</v>
      </c>
      <c r="CZ17" s="241">
        <f t="shared" si="33"/>
        <v>9</v>
      </c>
      <c r="DA17" s="214">
        <f t="shared" si="34"/>
        <v>0.5909090909090908</v>
      </c>
      <c r="DB17" s="252">
        <v>0</v>
      </c>
      <c r="DC17" s="253">
        <v>1</v>
      </c>
      <c r="DD17" s="224">
        <v>1</v>
      </c>
      <c r="DE17" s="251">
        <f t="shared" si="35"/>
        <v>0.9285714285714286</v>
      </c>
      <c r="DF17" s="70">
        <v>3</v>
      </c>
      <c r="DG17" s="209">
        <f t="shared" si="36"/>
        <v>0.9333333333333333</v>
      </c>
      <c r="DH17" s="62">
        <v>1</v>
      </c>
      <c r="DI17" s="253">
        <v>0</v>
      </c>
      <c r="DJ17" s="224">
        <v>1</v>
      </c>
      <c r="DK17" s="260">
        <v>0.8333333333333334</v>
      </c>
      <c r="DL17" s="220">
        <f t="shared" si="37"/>
        <v>6</v>
      </c>
      <c r="DM17" s="259">
        <f t="shared" si="38"/>
        <v>0.9016393442622951</v>
      </c>
      <c r="DN17" s="175">
        <v>426</v>
      </c>
      <c r="DO17" s="166">
        <f>1-DN17/(2128)*100/100</f>
        <v>0.799812030075188</v>
      </c>
      <c r="DP17" s="66">
        <v>0</v>
      </c>
      <c r="DQ17" s="28">
        <f t="shared" si="39"/>
        <v>1</v>
      </c>
      <c r="DR17" s="45">
        <v>1</v>
      </c>
      <c r="DS17" s="28">
        <v>1</v>
      </c>
      <c r="DT17" s="75"/>
      <c r="DU17" s="45">
        <v>1</v>
      </c>
      <c r="DV17" s="28">
        <v>1</v>
      </c>
      <c r="DW17" s="46"/>
      <c r="DX17" s="45">
        <v>1</v>
      </c>
      <c r="DY17" s="28">
        <v>1</v>
      </c>
      <c r="DZ17" s="76"/>
      <c r="EA17" s="45">
        <v>1</v>
      </c>
      <c r="EB17" s="69">
        <v>1</v>
      </c>
      <c r="EC17" s="49"/>
      <c r="ED17" s="49">
        <v>1</v>
      </c>
      <c r="EE17" s="69">
        <v>1</v>
      </c>
      <c r="EF17" s="49"/>
      <c r="EG17" s="49">
        <v>1</v>
      </c>
      <c r="EH17" s="172">
        <v>1</v>
      </c>
      <c r="EI17" s="75"/>
      <c r="EJ17" s="49"/>
      <c r="EK17" s="158"/>
      <c r="EL17" s="176"/>
      <c r="EM17" s="174"/>
      <c r="EN17" s="50">
        <f t="shared" si="40"/>
        <v>22.11079192540599</v>
      </c>
      <c r="EO17" s="24">
        <f t="shared" si="41"/>
        <v>8</v>
      </c>
      <c r="EP17" s="51">
        <f t="shared" si="42"/>
        <v>0.6333333333333329</v>
      </c>
      <c r="EQ17" s="52" t="s">
        <v>116</v>
      </c>
      <c r="ER17" s="77" t="s">
        <v>116</v>
      </c>
    </row>
    <row r="18" spans="1:147" s="54" customFormat="1" ht="18.75">
      <c r="A18" s="55">
        <f t="shared" si="0"/>
        <v>9</v>
      </c>
      <c r="B18" s="56" t="s">
        <v>118</v>
      </c>
      <c r="C18" s="57">
        <v>0</v>
      </c>
      <c r="D18" s="158">
        <v>1</v>
      </c>
      <c r="E18" s="57">
        <v>0</v>
      </c>
      <c r="F18" s="158">
        <v>1</v>
      </c>
      <c r="G18" s="189">
        <v>2804.4</v>
      </c>
      <c r="H18" s="185">
        <v>4710.75636</v>
      </c>
      <c r="I18" s="58">
        <f t="shared" si="1"/>
        <v>-0.6797733418913137</v>
      </c>
      <c r="J18" s="151">
        <v>0</v>
      </c>
      <c r="K18" s="189">
        <v>4710.75636</v>
      </c>
      <c r="L18" s="185">
        <v>12891.62184</v>
      </c>
      <c r="M18" s="58">
        <f t="shared" si="2"/>
        <v>0.36541223582773047</v>
      </c>
      <c r="N18" s="59">
        <v>0.5</v>
      </c>
      <c r="O18" s="189">
        <v>4710.75636</v>
      </c>
      <c r="P18" s="185">
        <v>4680.91801</v>
      </c>
      <c r="Q18" s="58">
        <f t="shared" si="3"/>
        <v>1.0063744654224354</v>
      </c>
      <c r="R18" s="28">
        <v>1</v>
      </c>
      <c r="S18" s="189">
        <v>4710.75636</v>
      </c>
      <c r="T18" s="185">
        <v>3678.13662</v>
      </c>
      <c r="U18" s="61">
        <f t="shared" si="4"/>
        <v>1.2807453465390852</v>
      </c>
      <c r="V18" s="155">
        <v>1</v>
      </c>
      <c r="W18" s="189">
        <v>709.0411</v>
      </c>
      <c r="X18" s="185">
        <v>2008.0181</v>
      </c>
      <c r="Y18" s="61">
        <f t="shared" si="5"/>
        <v>2.832019328639764</v>
      </c>
      <c r="Z18" s="155">
        <v>0</v>
      </c>
      <c r="AA18" s="189">
        <v>2008.0181</v>
      </c>
      <c r="AB18" s="185">
        <v>4071.22714</v>
      </c>
      <c r="AC18" s="61">
        <f t="shared" si="6"/>
        <v>0.4932218299173551</v>
      </c>
      <c r="AD18" s="181">
        <f t="shared" si="7"/>
        <v>0.5067781700826449</v>
      </c>
      <c r="AE18" s="184">
        <v>8180.86548</v>
      </c>
      <c r="AF18" s="185">
        <v>12891.62184</v>
      </c>
      <c r="AG18" s="185">
        <v>193.89</v>
      </c>
      <c r="AH18" s="58">
        <f t="shared" si="8"/>
        <v>0.6442777011740705</v>
      </c>
      <c r="AI18" s="60">
        <v>0.5</v>
      </c>
      <c r="AJ18" s="195">
        <v>1768.7</v>
      </c>
      <c r="AK18" s="196">
        <v>1108.7</v>
      </c>
      <c r="AL18" s="196">
        <f t="shared" si="9"/>
        <v>660</v>
      </c>
      <c r="AM18" s="147">
        <v>0</v>
      </c>
      <c r="AN18" s="62">
        <v>2776.4</v>
      </c>
      <c r="AO18" s="62">
        <v>2992</v>
      </c>
      <c r="AP18" s="63">
        <f t="shared" si="10"/>
        <v>0.9279411764705883</v>
      </c>
      <c r="AQ18" s="64">
        <v>1</v>
      </c>
      <c r="AR18" s="65">
        <f>AT18*100/AT25</f>
        <v>110.09722956755218</v>
      </c>
      <c r="AS18" s="144">
        <v>13531.46</v>
      </c>
      <c r="AT18" s="62">
        <v>13531.5</v>
      </c>
      <c r="AU18" s="62">
        <v>6670.8</v>
      </c>
      <c r="AV18" s="26">
        <f t="shared" si="11"/>
        <v>0.49298449686877843</v>
      </c>
      <c r="AW18" s="203">
        <v>1</v>
      </c>
      <c r="AX18" s="62">
        <v>2749.37</v>
      </c>
      <c r="AY18" s="66">
        <f t="shared" si="12"/>
        <v>99.02643711280795</v>
      </c>
      <c r="AZ18" s="66">
        <f t="shared" si="13"/>
        <v>41.21499670204473</v>
      </c>
      <c r="BA18" s="203">
        <v>0</v>
      </c>
      <c r="BB18" s="203">
        <v>1</v>
      </c>
      <c r="BC18" s="67">
        <v>3601</v>
      </c>
      <c r="BD18" s="31">
        <f>AT18*1000/BC18</f>
        <v>3757.7061927242435</v>
      </c>
      <c r="BE18" s="63">
        <f>BD18/BD25*100%</f>
        <v>0.8527143083864233</v>
      </c>
      <c r="BF18" s="203">
        <v>1</v>
      </c>
      <c r="BG18" s="68">
        <f>BD18*100/BD25</f>
        <v>85.27143083864233</v>
      </c>
      <c r="BH18" s="69">
        <f t="shared" si="14"/>
        <v>146.4748865437257</v>
      </c>
      <c r="BI18" s="69">
        <f t="shared" si="15"/>
        <v>30.05379115397406</v>
      </c>
      <c r="BJ18" s="62">
        <f>4066728.75/1000</f>
        <v>4066.72875</v>
      </c>
      <c r="BK18" s="66">
        <f t="shared" si="16"/>
        <v>1129.333171341294</v>
      </c>
      <c r="BL18" s="58">
        <f>BK18/BK25*100%</f>
        <v>2.2488100075789506</v>
      </c>
      <c r="BM18" s="205">
        <v>1</v>
      </c>
      <c r="BN18" s="70">
        <v>1105.6</v>
      </c>
      <c r="BO18" s="71">
        <v>223</v>
      </c>
      <c r="BP18" s="58">
        <f>BO18/(BN18+BO18)</f>
        <v>0.16784585277735964</v>
      </c>
      <c r="BQ18" s="208">
        <v>1</v>
      </c>
      <c r="BR18" s="209">
        <v>1</v>
      </c>
      <c r="BS18" s="62">
        <v>0</v>
      </c>
      <c r="BT18" s="72">
        <f t="shared" si="18"/>
        <v>0</v>
      </c>
      <c r="BU18" s="211">
        <f t="shared" si="19"/>
        <v>0</v>
      </c>
      <c r="BV18" s="169">
        <v>0.4786655150784386</v>
      </c>
      <c r="BW18" s="214">
        <f t="shared" si="20"/>
        <v>0.9952133448492156</v>
      </c>
      <c r="BX18" s="219">
        <f>3+2+1</f>
        <v>6</v>
      </c>
      <c r="BY18" s="214">
        <f t="shared" si="21"/>
        <v>0.5</v>
      </c>
      <c r="BZ18" s="224">
        <v>0</v>
      </c>
      <c r="CA18" s="33">
        <v>1</v>
      </c>
      <c r="CB18" s="224">
        <v>1</v>
      </c>
      <c r="CC18" s="221">
        <f t="shared" si="22"/>
        <v>0.75</v>
      </c>
      <c r="CD18" s="225">
        <v>1</v>
      </c>
      <c r="CE18" s="223">
        <v>0.5</v>
      </c>
      <c r="CF18" s="70">
        <v>1</v>
      </c>
      <c r="CG18" s="221">
        <f t="shared" si="23"/>
        <v>0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0.4375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0</v>
      </c>
      <c r="CS18" s="209">
        <f t="shared" si="29"/>
        <v>1</v>
      </c>
      <c r="CT18" s="224">
        <v>1</v>
      </c>
      <c r="CU18" s="33">
        <f t="shared" si="30"/>
        <v>0</v>
      </c>
      <c r="CV18" s="219">
        <f>4+3+1+1</f>
        <v>9</v>
      </c>
      <c r="CW18" s="239">
        <f t="shared" si="31"/>
        <v>0.18181818181818177</v>
      </c>
      <c r="CX18" s="219">
        <v>1</v>
      </c>
      <c r="CY18" s="214">
        <f t="shared" si="32"/>
        <v>0.875</v>
      </c>
      <c r="CZ18" s="241">
        <f t="shared" si="33"/>
        <v>11</v>
      </c>
      <c r="DA18" s="214">
        <f t="shared" si="34"/>
        <v>0.5</v>
      </c>
      <c r="DB18" s="252">
        <v>0</v>
      </c>
      <c r="DC18" s="253">
        <v>1</v>
      </c>
      <c r="DD18" s="224">
        <v>4</v>
      </c>
      <c r="DE18" s="251">
        <f t="shared" si="35"/>
        <v>0.7142857142857143</v>
      </c>
      <c r="DF18" s="70">
        <v>31</v>
      </c>
      <c r="DG18" s="209">
        <f t="shared" si="36"/>
        <v>0.3111111111111111</v>
      </c>
      <c r="DH18" s="62">
        <v>1</v>
      </c>
      <c r="DI18" s="253">
        <v>0</v>
      </c>
      <c r="DJ18" s="224">
        <v>1</v>
      </c>
      <c r="DK18" s="260">
        <v>0.8</v>
      </c>
      <c r="DL18" s="220">
        <f t="shared" si="37"/>
        <v>37</v>
      </c>
      <c r="DM18" s="259">
        <f t="shared" si="38"/>
        <v>0.39344262295081966</v>
      </c>
      <c r="DN18" s="175">
        <v>137</v>
      </c>
      <c r="DO18" s="166">
        <f>1-DN18/(1371)*100/100</f>
        <v>0.900072939460248</v>
      </c>
      <c r="DP18" s="66">
        <v>0</v>
      </c>
      <c r="DQ18" s="28">
        <f t="shared" si="39"/>
        <v>1</v>
      </c>
      <c r="DR18" s="45">
        <v>1</v>
      </c>
      <c r="DS18" s="28">
        <v>1</v>
      </c>
      <c r="DT18" s="75"/>
      <c r="DU18" s="45">
        <v>1</v>
      </c>
      <c r="DV18" s="28">
        <v>1</v>
      </c>
      <c r="DW18" s="46"/>
      <c r="DX18" s="45">
        <v>1</v>
      </c>
      <c r="DY18" s="28">
        <v>1</v>
      </c>
      <c r="DZ18" s="76"/>
      <c r="EA18" s="45">
        <v>1</v>
      </c>
      <c r="EB18" s="69">
        <v>1</v>
      </c>
      <c r="EC18" s="49"/>
      <c r="ED18" s="49">
        <v>1</v>
      </c>
      <c r="EE18" s="69">
        <v>1</v>
      </c>
      <c r="EF18" s="49"/>
      <c r="EG18" s="49">
        <v>1</v>
      </c>
      <c r="EH18" s="172">
        <v>1</v>
      </c>
      <c r="EI18" s="75"/>
      <c r="EJ18" s="49"/>
      <c r="EK18" s="158"/>
      <c r="EL18" s="176"/>
      <c r="EM18" s="174"/>
      <c r="EN18" s="50">
        <f t="shared" si="40"/>
        <v>21.733007077342926</v>
      </c>
      <c r="EO18" s="24">
        <f t="shared" si="41"/>
        <v>9</v>
      </c>
      <c r="EP18" s="51">
        <f t="shared" si="42"/>
        <v>0.6333333333333329</v>
      </c>
      <c r="EQ18" s="53" t="s">
        <v>117</v>
      </c>
    </row>
    <row r="19" spans="1:147" s="54" customFormat="1" ht="18.75">
      <c r="A19" s="55">
        <f t="shared" si="0"/>
        <v>10</v>
      </c>
      <c r="B19" s="56" t="s">
        <v>123</v>
      </c>
      <c r="C19" s="57">
        <v>0</v>
      </c>
      <c r="D19" s="158">
        <v>1</v>
      </c>
      <c r="E19" s="57">
        <v>0</v>
      </c>
      <c r="F19" s="158">
        <v>1</v>
      </c>
      <c r="G19" s="189">
        <v>2854.7</v>
      </c>
      <c r="H19" s="185">
        <v>2762.71304</v>
      </c>
      <c r="I19" s="58">
        <f t="shared" si="1"/>
        <v>0.03222298665358873</v>
      </c>
      <c r="J19" s="151">
        <v>0.8</v>
      </c>
      <c r="K19" s="189">
        <v>2762.71304</v>
      </c>
      <c r="L19" s="185">
        <v>8239.48611</v>
      </c>
      <c r="M19" s="58">
        <f t="shared" si="2"/>
        <v>0.3353016199210511</v>
      </c>
      <c r="N19" s="59">
        <v>0.5</v>
      </c>
      <c r="O19" s="189">
        <v>2762.71304</v>
      </c>
      <c r="P19" s="185">
        <v>2762.71304</v>
      </c>
      <c r="Q19" s="58">
        <f t="shared" si="3"/>
        <v>1</v>
      </c>
      <c r="R19" s="28">
        <v>1</v>
      </c>
      <c r="S19" s="189">
        <v>2762.71304</v>
      </c>
      <c r="T19" s="185">
        <v>2001.14011</v>
      </c>
      <c r="U19" s="61">
        <f t="shared" si="4"/>
        <v>1.3805695194425942</v>
      </c>
      <c r="V19" s="155">
        <v>1</v>
      </c>
      <c r="W19" s="189">
        <v>832.616</v>
      </c>
      <c r="X19" s="185">
        <v>910.002</v>
      </c>
      <c r="Y19" s="61">
        <f t="shared" si="5"/>
        <v>1.0929432055113042</v>
      </c>
      <c r="Z19" s="155">
        <v>0</v>
      </c>
      <c r="AA19" s="189">
        <v>910.002</v>
      </c>
      <c r="AB19" s="185">
        <v>2107.86671</v>
      </c>
      <c r="AC19" s="61">
        <f t="shared" si="6"/>
        <v>0.43171705102738683</v>
      </c>
      <c r="AD19" s="181">
        <f t="shared" si="7"/>
        <v>0.5682829489726131</v>
      </c>
      <c r="AE19" s="184">
        <v>5476.77307</v>
      </c>
      <c r="AF19" s="185">
        <v>8239.48611</v>
      </c>
      <c r="AG19" s="185">
        <v>149.5</v>
      </c>
      <c r="AH19" s="58">
        <f t="shared" si="8"/>
        <v>0.6769817643110886</v>
      </c>
      <c r="AI19" s="60">
        <v>0.5</v>
      </c>
      <c r="AJ19" s="195">
        <v>-11</v>
      </c>
      <c r="AK19" s="196">
        <v>92.1</v>
      </c>
      <c r="AL19" s="196">
        <f t="shared" si="9"/>
        <v>-103.1</v>
      </c>
      <c r="AM19" s="147">
        <v>1</v>
      </c>
      <c r="AN19" s="62">
        <v>2018.3</v>
      </c>
      <c r="AO19" s="62">
        <v>2467.2</v>
      </c>
      <c r="AP19" s="63">
        <f t="shared" si="10"/>
        <v>0.8180528534370948</v>
      </c>
      <c r="AQ19" s="64">
        <v>1</v>
      </c>
      <c r="AR19" s="65">
        <f>AT19*100/AT48</f>
        <v>2.1228502538289935</v>
      </c>
      <c r="AS19" s="144">
        <v>8123.68</v>
      </c>
      <c r="AT19" s="62">
        <v>8123.7</v>
      </c>
      <c r="AU19" s="62">
        <v>4182.7</v>
      </c>
      <c r="AV19" s="26">
        <f t="shared" si="11"/>
        <v>0.5148774939436315</v>
      </c>
      <c r="AW19" s="203">
        <v>0.8</v>
      </c>
      <c r="AX19" s="62">
        <v>1937.58</v>
      </c>
      <c r="AY19" s="66">
        <f t="shared" si="12"/>
        <v>96.00059455977804</v>
      </c>
      <c r="AZ19" s="66">
        <f t="shared" si="13"/>
        <v>46.32366653118799</v>
      </c>
      <c r="BA19" s="203">
        <v>0</v>
      </c>
      <c r="BB19" s="203">
        <v>1</v>
      </c>
      <c r="BC19" s="67">
        <v>2204</v>
      </c>
      <c r="BD19" s="31">
        <f aca="true" t="shared" si="43" ref="BD19:BD30">AS19*1000/BC19</f>
        <v>3685.880217785844</v>
      </c>
      <c r="BE19" s="63">
        <f>BD19/BD51*100%</f>
        <v>0.9518706111126164</v>
      </c>
      <c r="BF19" s="203">
        <v>0.9</v>
      </c>
      <c r="BG19" s="68">
        <f>BD19*100/BD48</f>
        <v>95.18706111126164</v>
      </c>
      <c r="BH19" s="69">
        <f t="shared" si="14"/>
        <v>65.68159589753753</v>
      </c>
      <c r="BI19" s="69">
        <f t="shared" si="15"/>
        <v>16.31832354715216</v>
      </c>
      <c r="BJ19" s="62">
        <f>1325651.65/1000</f>
        <v>1325.65165</v>
      </c>
      <c r="BK19" s="66">
        <f t="shared" si="16"/>
        <v>601.475340290381</v>
      </c>
      <c r="BL19" s="58">
        <f>BK19/BK51*100%</f>
        <v>0.8799827588016805</v>
      </c>
      <c r="BM19" s="205">
        <v>0</v>
      </c>
      <c r="BN19" s="70">
        <v>429.1</v>
      </c>
      <c r="BO19" s="71">
        <v>17.6</v>
      </c>
      <c r="BP19" s="58">
        <f>BO19/(BN19+BO19)</f>
        <v>0.03940004477277815</v>
      </c>
      <c r="BQ19" s="208">
        <v>1</v>
      </c>
      <c r="BR19" s="209">
        <v>1</v>
      </c>
      <c r="BS19" s="62">
        <v>0</v>
      </c>
      <c r="BT19" s="72">
        <f t="shared" si="18"/>
        <v>0</v>
      </c>
      <c r="BU19" s="211">
        <f t="shared" si="19"/>
        <v>0</v>
      </c>
      <c r="BV19" s="169">
        <v>0</v>
      </c>
      <c r="BW19" s="214">
        <f t="shared" si="20"/>
        <v>1</v>
      </c>
      <c r="BX19" s="219">
        <f>4+3+2</f>
        <v>9</v>
      </c>
      <c r="BY19" s="214">
        <f t="shared" si="21"/>
        <v>0.25</v>
      </c>
      <c r="BZ19" s="224">
        <v>1</v>
      </c>
      <c r="CA19" s="33">
        <v>0</v>
      </c>
      <c r="CB19" s="224">
        <v>1</v>
      </c>
      <c r="CC19" s="221">
        <f t="shared" si="22"/>
        <v>0.75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31"/>
      <c r="CK19" s="221">
        <f t="shared" si="24"/>
        <v>1</v>
      </c>
      <c r="CL19" s="240">
        <f t="shared" si="25"/>
        <v>11</v>
      </c>
      <c r="CM19" s="221">
        <f t="shared" si="26"/>
        <v>0.3125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3</v>
      </c>
      <c r="CS19" s="209">
        <f t="shared" si="29"/>
        <v>0</v>
      </c>
      <c r="CT19" s="224">
        <v>1</v>
      </c>
      <c r="CU19" s="33">
        <f t="shared" si="30"/>
        <v>0</v>
      </c>
      <c r="CV19" s="219">
        <f>4+2+2+2</f>
        <v>10</v>
      </c>
      <c r="CW19" s="239">
        <f t="shared" si="31"/>
        <v>0.09090909090909094</v>
      </c>
      <c r="CX19" s="219">
        <v>8</v>
      </c>
      <c r="CY19" s="214">
        <f t="shared" si="32"/>
        <v>0</v>
      </c>
      <c r="CZ19" s="241">
        <f t="shared" si="33"/>
        <v>22</v>
      </c>
      <c r="DA19" s="214">
        <f t="shared" si="34"/>
        <v>0</v>
      </c>
      <c r="DB19" s="252">
        <v>1</v>
      </c>
      <c r="DC19" s="253">
        <v>0.5</v>
      </c>
      <c r="DD19" s="224">
        <v>11</v>
      </c>
      <c r="DE19" s="251">
        <f t="shared" si="35"/>
        <v>0.2142857142857143</v>
      </c>
      <c r="DF19" s="70">
        <v>3</v>
      </c>
      <c r="DG19" s="209">
        <f t="shared" si="36"/>
        <v>0.9333333333333333</v>
      </c>
      <c r="DH19" s="62">
        <v>1</v>
      </c>
      <c r="DI19" s="253">
        <v>0</v>
      </c>
      <c r="DJ19" s="224">
        <v>1</v>
      </c>
      <c r="DK19" s="260">
        <v>0.8</v>
      </c>
      <c r="DL19" s="220">
        <f t="shared" si="37"/>
        <v>17</v>
      </c>
      <c r="DM19" s="259">
        <f t="shared" si="38"/>
        <v>0.7213114754098361</v>
      </c>
      <c r="DN19" s="175">
        <v>817</v>
      </c>
      <c r="DO19" s="166">
        <f>1-DN19/(1380)*100/100</f>
        <v>0.40797101449275364</v>
      </c>
      <c r="DP19" s="66">
        <v>0</v>
      </c>
      <c r="DQ19" s="28">
        <f t="shared" si="39"/>
        <v>1</v>
      </c>
      <c r="DR19" s="45">
        <v>1</v>
      </c>
      <c r="DS19" s="28">
        <v>1</v>
      </c>
      <c r="DT19" s="75"/>
      <c r="DU19" s="45">
        <v>1</v>
      </c>
      <c r="DV19" s="28">
        <v>1</v>
      </c>
      <c r="DW19" s="46"/>
      <c r="DX19" s="45">
        <v>1</v>
      </c>
      <c r="DY19" s="28">
        <v>1</v>
      </c>
      <c r="DZ19" s="76"/>
      <c r="EA19" s="45">
        <v>1</v>
      </c>
      <c r="EB19" s="69">
        <v>1</v>
      </c>
      <c r="EC19" s="49"/>
      <c r="ED19" s="49">
        <v>1</v>
      </c>
      <c r="EE19" s="69">
        <v>1</v>
      </c>
      <c r="EF19" s="49"/>
      <c r="EG19" s="49">
        <v>1</v>
      </c>
      <c r="EH19" s="172">
        <v>1</v>
      </c>
      <c r="EI19" s="75"/>
      <c r="EJ19" s="49"/>
      <c r="EK19" s="158"/>
      <c r="EL19" s="176"/>
      <c r="EM19" s="174"/>
      <c r="EN19" s="50">
        <f t="shared" si="40"/>
        <v>21.510065438875202</v>
      </c>
      <c r="EO19" s="24">
        <f t="shared" si="41"/>
        <v>10</v>
      </c>
      <c r="EP19" s="51">
        <f t="shared" si="42"/>
        <v>0.6333333333333329</v>
      </c>
      <c r="EQ19" s="53" t="s">
        <v>117</v>
      </c>
    </row>
    <row r="20" spans="1:147" s="54" customFormat="1" ht="18.75">
      <c r="A20" s="55">
        <f t="shared" si="0"/>
        <v>11</v>
      </c>
      <c r="B20" s="56" t="s">
        <v>127</v>
      </c>
      <c r="C20" s="57">
        <v>0</v>
      </c>
      <c r="D20" s="158">
        <v>1</v>
      </c>
      <c r="E20" s="57">
        <v>0</v>
      </c>
      <c r="F20" s="158">
        <v>1</v>
      </c>
      <c r="G20" s="189">
        <v>19606.5</v>
      </c>
      <c r="H20" s="185">
        <v>24904.51697</v>
      </c>
      <c r="I20" s="58">
        <f t="shared" si="1"/>
        <v>-0.27021737536021223</v>
      </c>
      <c r="J20" s="78">
        <v>0</v>
      </c>
      <c r="K20" s="189">
        <v>24904.51697</v>
      </c>
      <c r="L20" s="185">
        <v>43327.71538</v>
      </c>
      <c r="M20" s="58">
        <f t="shared" si="2"/>
        <v>0.57479414161532</v>
      </c>
      <c r="N20" s="59">
        <v>0.8</v>
      </c>
      <c r="O20" s="189">
        <v>24904.51697</v>
      </c>
      <c r="P20" s="185">
        <v>24003.75861</v>
      </c>
      <c r="Q20" s="58">
        <f t="shared" si="3"/>
        <v>1.037525721477</v>
      </c>
      <c r="R20" s="28">
        <v>1</v>
      </c>
      <c r="S20" s="189">
        <v>24904.51697</v>
      </c>
      <c r="T20" s="185">
        <v>16422.00425</v>
      </c>
      <c r="U20" s="61">
        <f t="shared" si="4"/>
        <v>1.5165333409288333</v>
      </c>
      <c r="V20" s="155">
        <v>1</v>
      </c>
      <c r="W20" s="189">
        <v>1137.2129</v>
      </c>
      <c r="X20" s="185">
        <v>842.4801</v>
      </c>
      <c r="Y20" s="61">
        <f t="shared" si="5"/>
        <v>0.7408288280936666</v>
      </c>
      <c r="Z20" s="155">
        <v>0.25</v>
      </c>
      <c r="AA20" s="189">
        <v>842.4801</v>
      </c>
      <c r="AB20" s="185">
        <v>19842.04408</v>
      </c>
      <c r="AC20" s="61">
        <f t="shared" si="6"/>
        <v>0.04245934020725147</v>
      </c>
      <c r="AD20" s="181">
        <f t="shared" si="7"/>
        <v>0.9575406597927485</v>
      </c>
      <c r="AE20" s="184">
        <v>18423.19841</v>
      </c>
      <c r="AF20" s="185">
        <v>43327.71538</v>
      </c>
      <c r="AG20" s="185">
        <v>649.98</v>
      </c>
      <c r="AH20" s="58">
        <f t="shared" si="8"/>
        <v>0.4316817245798294</v>
      </c>
      <c r="AI20" s="60">
        <v>0.8</v>
      </c>
      <c r="AJ20" s="195">
        <v>-2283.5</v>
      </c>
      <c r="AK20" s="196">
        <v>175.5</v>
      </c>
      <c r="AL20" s="196">
        <f t="shared" si="9"/>
        <v>-2459</v>
      </c>
      <c r="AM20" s="147">
        <v>1</v>
      </c>
      <c r="AN20" s="62">
        <v>3999.1</v>
      </c>
      <c r="AO20" s="62">
        <v>4746.3</v>
      </c>
      <c r="AP20" s="63">
        <f t="shared" si="10"/>
        <v>0.8425721088005393</v>
      </c>
      <c r="AQ20" s="64">
        <v>1</v>
      </c>
      <c r="AR20" s="65">
        <f>AT20*100/AT49</f>
        <v>10.130425272989966</v>
      </c>
      <c r="AS20" s="144">
        <v>38766.96</v>
      </c>
      <c r="AT20" s="62">
        <v>38767</v>
      </c>
      <c r="AU20" s="62">
        <v>6230.9</v>
      </c>
      <c r="AV20" s="26">
        <f t="shared" si="11"/>
        <v>0.16072707274441947</v>
      </c>
      <c r="AW20" s="203">
        <v>1</v>
      </c>
      <c r="AX20" s="62">
        <v>3317.44</v>
      </c>
      <c r="AY20" s="66">
        <f t="shared" si="12"/>
        <v>82.9546647995799</v>
      </c>
      <c r="AZ20" s="66">
        <f t="shared" si="13"/>
        <v>53.241746778154045</v>
      </c>
      <c r="BA20" s="203">
        <v>1</v>
      </c>
      <c r="BB20" s="203">
        <v>1</v>
      </c>
      <c r="BC20" s="67">
        <v>13027</v>
      </c>
      <c r="BD20" s="31">
        <f t="shared" si="43"/>
        <v>2975.8931450065247</v>
      </c>
      <c r="BE20" s="63">
        <f>BD20/BD49*100%</f>
        <v>0.7685179819122894</v>
      </c>
      <c r="BF20" s="203">
        <v>0.7</v>
      </c>
      <c r="BG20" s="68">
        <f>BD20*100/BD49</f>
        <v>76.85179819122895</v>
      </c>
      <c r="BH20" s="69">
        <f t="shared" si="14"/>
        <v>105.72604410992474</v>
      </c>
      <c r="BI20" s="69">
        <f t="shared" si="15"/>
        <v>10.906415843371942</v>
      </c>
      <c r="BJ20" s="62">
        <f>4228090.23/1000</f>
        <v>4228.090230000001</v>
      </c>
      <c r="BK20" s="66">
        <f t="shared" si="16"/>
        <v>324.5636163353036</v>
      </c>
      <c r="BL20" s="58">
        <f>BK20/BK49*100%</f>
        <v>0.4748497026852394</v>
      </c>
      <c r="BM20" s="205">
        <v>0</v>
      </c>
      <c r="BN20" s="70">
        <v>0</v>
      </c>
      <c r="BO20" s="71">
        <v>0</v>
      </c>
      <c r="BP20" s="58"/>
      <c r="BQ20" s="208"/>
      <c r="BR20" s="209"/>
      <c r="BS20" s="62">
        <f>3970558.19/1000</f>
        <v>3970.5581899999997</v>
      </c>
      <c r="BT20" s="72">
        <f t="shared" si="18"/>
        <v>0.10242108468542832</v>
      </c>
      <c r="BU20" s="211">
        <f t="shared" si="19"/>
        <v>0.20484216937085664</v>
      </c>
      <c r="BV20" s="169">
        <v>4.354440767314567</v>
      </c>
      <c r="BW20" s="214">
        <f t="shared" si="20"/>
        <v>0.9564555923268543</v>
      </c>
      <c r="BX20" s="219">
        <f>3+3+2</f>
        <v>8</v>
      </c>
      <c r="BY20" s="214">
        <f t="shared" si="21"/>
        <v>0.33333333333333337</v>
      </c>
      <c r="BZ20" s="224">
        <v>0</v>
      </c>
      <c r="CA20" s="33">
        <v>1</v>
      </c>
      <c r="CB20" s="224">
        <v>0</v>
      </c>
      <c r="CC20" s="221">
        <f t="shared" si="22"/>
        <v>1</v>
      </c>
      <c r="CD20" s="225">
        <v>0</v>
      </c>
      <c r="CE20" s="223">
        <f>1-CD20/1</f>
        <v>1</v>
      </c>
      <c r="CF20" s="70"/>
      <c r="CG20" s="221">
        <f t="shared" si="23"/>
        <v>1</v>
      </c>
      <c r="CH20" s="73"/>
      <c r="CI20" s="48"/>
      <c r="CJ20" s="62"/>
      <c r="CK20" s="221">
        <f t="shared" si="24"/>
        <v>1</v>
      </c>
      <c r="CL20" s="240">
        <f t="shared" si="25"/>
        <v>8</v>
      </c>
      <c r="CM20" s="221">
        <f t="shared" si="26"/>
        <v>0.5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f>2+3+2+1</f>
        <v>8</v>
      </c>
      <c r="CW20" s="239">
        <f t="shared" si="31"/>
        <v>0.2727272727272727</v>
      </c>
      <c r="CX20" s="219">
        <v>4</v>
      </c>
      <c r="CY20" s="214">
        <f t="shared" si="32"/>
        <v>0.5</v>
      </c>
      <c r="CZ20" s="241">
        <f t="shared" si="33"/>
        <v>13</v>
      </c>
      <c r="DA20" s="214">
        <f t="shared" si="34"/>
        <v>0.40909090909090906</v>
      </c>
      <c r="DB20" s="252">
        <v>0</v>
      </c>
      <c r="DC20" s="253">
        <v>1</v>
      </c>
      <c r="DD20" s="224">
        <v>7</v>
      </c>
      <c r="DE20" s="251">
        <f t="shared" si="35"/>
        <v>0.5</v>
      </c>
      <c r="DF20" s="70">
        <v>5</v>
      </c>
      <c r="DG20" s="209">
        <f t="shared" si="36"/>
        <v>0.8888888888888888</v>
      </c>
      <c r="DH20" s="62">
        <v>0</v>
      </c>
      <c r="DI20" s="253">
        <v>1</v>
      </c>
      <c r="DJ20" s="224">
        <v>4</v>
      </c>
      <c r="DK20" s="260">
        <v>0.3</v>
      </c>
      <c r="DL20" s="220">
        <f t="shared" si="37"/>
        <v>16</v>
      </c>
      <c r="DM20" s="259">
        <f t="shared" si="38"/>
        <v>0.7377049180327868</v>
      </c>
      <c r="DN20" s="175">
        <v>717</v>
      </c>
      <c r="DO20" s="166">
        <f>1-DN20/(2389)*100/100</f>
        <v>0.6998744244453746</v>
      </c>
      <c r="DP20" s="66">
        <v>3</v>
      </c>
      <c r="DQ20" s="28">
        <f t="shared" si="39"/>
        <v>0.25</v>
      </c>
      <c r="DR20" s="45">
        <v>1</v>
      </c>
      <c r="DS20" s="28">
        <v>1</v>
      </c>
      <c r="DT20" s="75"/>
      <c r="DU20" s="45">
        <v>0</v>
      </c>
      <c r="DV20" s="28">
        <v>0</v>
      </c>
      <c r="DW20" s="46"/>
      <c r="DX20" s="45">
        <v>1</v>
      </c>
      <c r="DY20" s="28">
        <v>1</v>
      </c>
      <c r="DZ20" s="76"/>
      <c r="EA20" s="45">
        <v>1</v>
      </c>
      <c r="EB20" s="69">
        <v>1</v>
      </c>
      <c r="EC20" s="49"/>
      <c r="ED20" s="49">
        <v>1</v>
      </c>
      <c r="EE20" s="69">
        <v>1</v>
      </c>
      <c r="EF20" s="49"/>
      <c r="EG20" s="49">
        <v>1</v>
      </c>
      <c r="EH20" s="172">
        <v>1</v>
      </c>
      <c r="EI20" s="75"/>
      <c r="EJ20" s="49"/>
      <c r="EK20" s="158"/>
      <c r="EL20" s="176"/>
      <c r="EM20" s="174"/>
      <c r="EN20" s="50">
        <f t="shared" si="40"/>
        <v>21.26550867305953</v>
      </c>
      <c r="EO20" s="24">
        <f t="shared" si="41"/>
        <v>11</v>
      </c>
      <c r="EP20" s="51">
        <f t="shared" si="42"/>
        <v>0.6333333333333329</v>
      </c>
      <c r="EQ20" s="53" t="s">
        <v>117</v>
      </c>
    </row>
    <row r="21" spans="1:147" s="54" customFormat="1" ht="18.75">
      <c r="A21" s="55">
        <f t="shared" si="0"/>
        <v>12</v>
      </c>
      <c r="B21" s="56" t="s">
        <v>128</v>
      </c>
      <c r="C21" s="57">
        <v>0</v>
      </c>
      <c r="D21" s="158">
        <v>1</v>
      </c>
      <c r="E21" s="57">
        <v>0</v>
      </c>
      <c r="F21" s="158">
        <v>1</v>
      </c>
      <c r="G21" s="189">
        <v>4545.88</v>
      </c>
      <c r="H21" s="185">
        <v>7173.12442</v>
      </c>
      <c r="I21" s="58">
        <f t="shared" si="1"/>
        <v>-0.5779396772462098</v>
      </c>
      <c r="J21" s="151">
        <v>0</v>
      </c>
      <c r="K21" s="189">
        <v>7173.12442</v>
      </c>
      <c r="L21" s="185">
        <v>12318.67832</v>
      </c>
      <c r="M21" s="58">
        <f t="shared" si="2"/>
        <v>0.5822965933247942</v>
      </c>
      <c r="N21" s="59">
        <v>0.8</v>
      </c>
      <c r="O21" s="189">
        <v>7173.12442</v>
      </c>
      <c r="P21" s="185">
        <v>6167.0933</v>
      </c>
      <c r="Q21" s="58">
        <f t="shared" si="3"/>
        <v>1.1631288957473693</v>
      </c>
      <c r="R21" s="28">
        <v>1</v>
      </c>
      <c r="S21" s="189">
        <v>7173.12442</v>
      </c>
      <c r="T21" s="185">
        <v>4124.98602</v>
      </c>
      <c r="U21" s="61">
        <f t="shared" si="4"/>
        <v>1.7389451467765216</v>
      </c>
      <c r="V21" s="155">
        <v>1</v>
      </c>
      <c r="W21" s="189">
        <v>1689.0246</v>
      </c>
      <c r="X21" s="185">
        <v>2458.5081</v>
      </c>
      <c r="Y21" s="61">
        <f t="shared" si="5"/>
        <v>1.4555786221230882</v>
      </c>
      <c r="Z21" s="155">
        <v>0</v>
      </c>
      <c r="AA21" s="189">
        <v>2458.5081</v>
      </c>
      <c r="AB21" s="185">
        <v>4624.8495</v>
      </c>
      <c r="AC21" s="61">
        <f t="shared" si="6"/>
        <v>0.5315866170347813</v>
      </c>
      <c r="AD21" s="181">
        <f t="shared" si="7"/>
        <v>0.4684133829652187</v>
      </c>
      <c r="AE21" s="184">
        <v>5145.5539</v>
      </c>
      <c r="AF21" s="185">
        <v>12318.67832</v>
      </c>
      <c r="AG21" s="185">
        <v>154.56</v>
      </c>
      <c r="AH21" s="58">
        <f t="shared" si="8"/>
        <v>0.4230108393092315</v>
      </c>
      <c r="AI21" s="60">
        <v>0.8</v>
      </c>
      <c r="AJ21" s="195">
        <v>1235.9</v>
      </c>
      <c r="AK21" s="196">
        <v>1119.6</v>
      </c>
      <c r="AL21" s="196">
        <f t="shared" si="9"/>
        <v>116.30000000000018</v>
      </c>
      <c r="AM21" s="147">
        <v>0</v>
      </c>
      <c r="AN21" s="62">
        <v>2502</v>
      </c>
      <c r="AO21" s="62">
        <v>2638.2</v>
      </c>
      <c r="AP21" s="63">
        <f t="shared" si="10"/>
        <v>0.9483738912895157</v>
      </c>
      <c r="AQ21" s="64">
        <v>1</v>
      </c>
      <c r="AR21" s="65">
        <f>AT21*100/AT50</f>
        <v>3.2400009511891037</v>
      </c>
      <c r="AS21" s="144">
        <v>12398.81</v>
      </c>
      <c r="AT21" s="62">
        <v>12398.8</v>
      </c>
      <c r="AU21" s="62">
        <v>4561.4</v>
      </c>
      <c r="AV21" s="26">
        <f t="shared" si="11"/>
        <v>0.36789014429610584</v>
      </c>
      <c r="AW21" s="203">
        <v>1</v>
      </c>
      <c r="AX21" s="62">
        <v>2247.42</v>
      </c>
      <c r="AY21" s="66">
        <f t="shared" si="12"/>
        <v>89.82494004796163</v>
      </c>
      <c r="AZ21" s="66">
        <f t="shared" si="13"/>
        <v>49.270399438768806</v>
      </c>
      <c r="BA21" s="203">
        <v>0</v>
      </c>
      <c r="BB21" s="203">
        <v>1</v>
      </c>
      <c r="BC21" s="67">
        <v>3082</v>
      </c>
      <c r="BD21" s="31">
        <f t="shared" si="43"/>
        <v>4022.975340687865</v>
      </c>
      <c r="BE21" s="63">
        <f>BD21/BD37*100%</f>
        <v>1.0389246990592347</v>
      </c>
      <c r="BF21" s="203">
        <v>1</v>
      </c>
      <c r="BG21" s="68">
        <f>BD21*100/BD50</f>
        <v>103.89246990592346</v>
      </c>
      <c r="BH21" s="69">
        <f t="shared" si="14"/>
        <v>37.15310711430855</v>
      </c>
      <c r="BI21" s="69">
        <f t="shared" si="15"/>
        <v>7.497263767461367</v>
      </c>
      <c r="BJ21" s="62">
        <f>929570.74/1000</f>
        <v>929.57074</v>
      </c>
      <c r="BK21" s="66">
        <f t="shared" si="16"/>
        <v>301.6128293316028</v>
      </c>
      <c r="BL21" s="58">
        <f>BK21/BK37*100%</f>
        <v>0.4412717726998871</v>
      </c>
      <c r="BM21" s="205">
        <v>0</v>
      </c>
      <c r="BN21" s="70">
        <v>143.2</v>
      </c>
      <c r="BO21" s="71">
        <v>65.51</v>
      </c>
      <c r="BP21" s="58">
        <f>BO21/(BN21+BO21)</f>
        <v>0.31388050404868006</v>
      </c>
      <c r="BQ21" s="208">
        <v>1</v>
      </c>
      <c r="BR21" s="209">
        <v>1</v>
      </c>
      <c r="BS21" s="62">
        <f>72609.63/1000</f>
        <v>72.60963000000001</v>
      </c>
      <c r="BT21" s="72">
        <f t="shared" si="18"/>
        <v>0.005856182049875796</v>
      </c>
      <c r="BU21" s="211">
        <f t="shared" si="19"/>
        <v>0.011712364099751592</v>
      </c>
      <c r="BV21" s="169">
        <v>0</v>
      </c>
      <c r="BW21" s="214">
        <f t="shared" si="20"/>
        <v>1</v>
      </c>
      <c r="BX21" s="219">
        <f>3+1+1</f>
        <v>5</v>
      </c>
      <c r="BY21" s="214">
        <f t="shared" si="21"/>
        <v>0.5833333333333333</v>
      </c>
      <c r="BZ21" s="224">
        <v>1</v>
      </c>
      <c r="CA21" s="33">
        <v>0</v>
      </c>
      <c r="CB21" s="224">
        <v>4</v>
      </c>
      <c r="CC21" s="221">
        <f t="shared" si="22"/>
        <v>0</v>
      </c>
      <c r="CD21" s="225">
        <v>1</v>
      </c>
      <c r="CE21" s="223">
        <v>0.5</v>
      </c>
      <c r="CF21" s="70">
        <v>1</v>
      </c>
      <c r="CG21" s="221">
        <f t="shared" si="23"/>
        <v>0</v>
      </c>
      <c r="CH21" s="73"/>
      <c r="CI21" s="48"/>
      <c r="CJ21" s="31"/>
      <c r="CK21" s="221">
        <f t="shared" si="24"/>
        <v>1</v>
      </c>
      <c r="CL21" s="240">
        <f t="shared" si="25"/>
        <v>12</v>
      </c>
      <c r="CM21" s="221">
        <f t="shared" si="26"/>
        <v>0.25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1</v>
      </c>
      <c r="CS21" s="209">
        <f t="shared" si="29"/>
        <v>0.6666666666666667</v>
      </c>
      <c r="CT21" s="224">
        <v>0</v>
      </c>
      <c r="CU21" s="33">
        <f t="shared" si="30"/>
        <v>1</v>
      </c>
      <c r="CV21" s="219">
        <f>2+3+1+1</f>
        <v>7</v>
      </c>
      <c r="CW21" s="239">
        <f t="shared" si="31"/>
        <v>0.36363636363636365</v>
      </c>
      <c r="CX21" s="219">
        <v>0</v>
      </c>
      <c r="CY21" s="214">
        <f t="shared" si="32"/>
        <v>1</v>
      </c>
      <c r="CZ21" s="241">
        <f t="shared" si="33"/>
        <v>8</v>
      </c>
      <c r="DA21" s="214">
        <f t="shared" si="34"/>
        <v>0.6363636363636364</v>
      </c>
      <c r="DB21" s="252">
        <v>0</v>
      </c>
      <c r="DC21" s="253">
        <v>1</v>
      </c>
      <c r="DD21" s="224">
        <v>7</v>
      </c>
      <c r="DE21" s="251">
        <f t="shared" si="35"/>
        <v>0.5</v>
      </c>
      <c r="DF21" s="70">
        <v>4</v>
      </c>
      <c r="DG21" s="209">
        <f t="shared" si="36"/>
        <v>0.9111111111111111</v>
      </c>
      <c r="DH21" s="62">
        <v>1</v>
      </c>
      <c r="DI21" s="253">
        <v>0</v>
      </c>
      <c r="DJ21" s="224">
        <v>2</v>
      </c>
      <c r="DK21" s="260">
        <v>0.6666666666666667</v>
      </c>
      <c r="DL21" s="220">
        <f t="shared" si="37"/>
        <v>14</v>
      </c>
      <c r="DM21" s="259">
        <f t="shared" si="38"/>
        <v>0.7704918032786885</v>
      </c>
      <c r="DN21" s="175">
        <v>172</v>
      </c>
      <c r="DO21" s="166">
        <f>1-DN21/(1722)*100/100</f>
        <v>0.9001161440185831</v>
      </c>
      <c r="DP21" s="66">
        <v>2</v>
      </c>
      <c r="DQ21" s="28">
        <f t="shared" si="39"/>
        <v>0.5</v>
      </c>
      <c r="DR21" s="45">
        <v>1</v>
      </c>
      <c r="DS21" s="28">
        <v>1</v>
      </c>
      <c r="DT21" s="75"/>
      <c r="DU21" s="45">
        <v>1</v>
      </c>
      <c r="DV21" s="28">
        <v>1</v>
      </c>
      <c r="DW21" s="46"/>
      <c r="DX21" s="45">
        <v>1</v>
      </c>
      <c r="DY21" s="28">
        <v>1</v>
      </c>
      <c r="DZ21" s="76"/>
      <c r="EA21" s="45">
        <v>1</v>
      </c>
      <c r="EB21" s="69">
        <v>1</v>
      </c>
      <c r="EC21" s="49"/>
      <c r="ED21" s="49">
        <v>1</v>
      </c>
      <c r="EE21" s="69">
        <v>1</v>
      </c>
      <c r="EF21" s="49"/>
      <c r="EG21" s="49">
        <v>1</v>
      </c>
      <c r="EH21" s="172">
        <v>1</v>
      </c>
      <c r="EI21" s="75"/>
      <c r="EJ21" s="49"/>
      <c r="EK21" s="158"/>
      <c r="EL21" s="176"/>
      <c r="EM21" s="174"/>
      <c r="EN21" s="50">
        <f t="shared" si="40"/>
        <v>21.13709733072588</v>
      </c>
      <c r="EO21" s="24">
        <f t="shared" si="41"/>
        <v>12</v>
      </c>
      <c r="EP21" s="51">
        <f t="shared" si="42"/>
        <v>0.6333333333333329</v>
      </c>
      <c r="EQ21" s="53" t="s">
        <v>117</v>
      </c>
    </row>
    <row r="22" spans="1:147" s="54" customFormat="1" ht="18.75">
      <c r="A22" s="55">
        <f t="shared" si="0"/>
        <v>13</v>
      </c>
      <c r="B22" s="56" t="s">
        <v>136</v>
      </c>
      <c r="C22" s="57">
        <v>0</v>
      </c>
      <c r="D22" s="158">
        <v>1</v>
      </c>
      <c r="E22" s="57">
        <v>0</v>
      </c>
      <c r="F22" s="158">
        <v>1</v>
      </c>
      <c r="G22" s="189">
        <v>6835</v>
      </c>
      <c r="H22" s="185">
        <v>9894.43062</v>
      </c>
      <c r="I22" s="58">
        <f t="shared" si="1"/>
        <v>-0.4476123803950255</v>
      </c>
      <c r="J22" s="151">
        <v>0</v>
      </c>
      <c r="K22" s="189">
        <v>9894.43062</v>
      </c>
      <c r="L22" s="185">
        <v>23133.70256</v>
      </c>
      <c r="M22" s="58">
        <f t="shared" si="2"/>
        <v>0.4277063126552103</v>
      </c>
      <c r="N22" s="59">
        <v>0.5</v>
      </c>
      <c r="O22" s="189">
        <v>9894.43062</v>
      </c>
      <c r="P22" s="185">
        <v>9640.478</v>
      </c>
      <c r="Q22" s="58">
        <f t="shared" si="3"/>
        <v>1.0263423265941793</v>
      </c>
      <c r="R22" s="28">
        <v>1</v>
      </c>
      <c r="S22" s="189">
        <v>9894.43062</v>
      </c>
      <c r="T22" s="185">
        <v>7879.4086</v>
      </c>
      <c r="U22" s="61">
        <f t="shared" si="4"/>
        <v>1.2557326472446166</v>
      </c>
      <c r="V22" s="155">
        <v>1</v>
      </c>
      <c r="W22" s="189">
        <v>992.2754</v>
      </c>
      <c r="X22" s="185">
        <v>1785.3206</v>
      </c>
      <c r="Y22" s="61">
        <f t="shared" si="5"/>
        <v>1.7992188458970162</v>
      </c>
      <c r="Z22" s="155">
        <v>0</v>
      </c>
      <c r="AA22" s="189">
        <v>1785.3206</v>
      </c>
      <c r="AB22" s="185">
        <v>5910.33068</v>
      </c>
      <c r="AC22" s="61">
        <f t="shared" si="6"/>
        <v>0.30206780240593917</v>
      </c>
      <c r="AD22" s="181">
        <f t="shared" si="7"/>
        <v>0.6979321975940609</v>
      </c>
      <c r="AE22" s="184">
        <v>13239.27194</v>
      </c>
      <c r="AF22" s="185">
        <v>23133.70256</v>
      </c>
      <c r="AG22" s="185">
        <v>192.28</v>
      </c>
      <c r="AH22" s="58">
        <f t="shared" si="8"/>
        <v>0.5770902787468642</v>
      </c>
      <c r="AI22" s="60">
        <v>0.5</v>
      </c>
      <c r="AJ22" s="195">
        <v>118</v>
      </c>
      <c r="AK22" s="196">
        <v>486.4</v>
      </c>
      <c r="AL22" s="196">
        <f t="shared" si="9"/>
        <v>-368.4</v>
      </c>
      <c r="AM22" s="147">
        <v>1</v>
      </c>
      <c r="AN22" s="62">
        <v>2523.3</v>
      </c>
      <c r="AO22" s="62">
        <v>3009.4</v>
      </c>
      <c r="AP22" s="63">
        <f t="shared" si="10"/>
        <v>0.8384727852728119</v>
      </c>
      <c r="AQ22" s="64">
        <v>1</v>
      </c>
      <c r="AR22" s="65">
        <f>AT22*100/AT48</f>
        <v>5.911666412754923</v>
      </c>
      <c r="AS22" s="144">
        <v>22622.7</v>
      </c>
      <c r="AT22" s="62">
        <v>22622.7</v>
      </c>
      <c r="AU22" s="62">
        <v>7459.3</v>
      </c>
      <c r="AV22" s="26">
        <f t="shared" si="11"/>
        <v>0.3297263368209807</v>
      </c>
      <c r="AW22" s="203">
        <v>1</v>
      </c>
      <c r="AX22" s="62">
        <v>2478.18</v>
      </c>
      <c r="AY22" s="66">
        <f t="shared" si="12"/>
        <v>98.21186541433835</v>
      </c>
      <c r="AZ22" s="66">
        <f t="shared" si="13"/>
        <v>33.22268845602134</v>
      </c>
      <c r="BA22" s="203">
        <v>0</v>
      </c>
      <c r="BB22" s="203">
        <v>1</v>
      </c>
      <c r="BC22" s="67">
        <v>3660</v>
      </c>
      <c r="BD22" s="31">
        <f t="shared" si="43"/>
        <v>6181.065573770492</v>
      </c>
      <c r="BE22" s="63">
        <f>BD22/BD50*100%</f>
        <v>1.596246844007973</v>
      </c>
      <c r="BF22" s="203">
        <v>1</v>
      </c>
      <c r="BG22" s="68">
        <f>BD22*100/BD48</f>
        <v>159.6246844007973</v>
      </c>
      <c r="BH22" s="69">
        <f t="shared" si="14"/>
        <v>184.11276701145323</v>
      </c>
      <c r="BI22" s="69">
        <f t="shared" si="15"/>
        <v>20.535645391575716</v>
      </c>
      <c r="BJ22" s="62">
        <f>4645717.45/1000</f>
        <v>4645.71745</v>
      </c>
      <c r="BK22" s="66">
        <f t="shared" si="16"/>
        <v>1269.3217076502733</v>
      </c>
      <c r="BL22" s="58">
        <f>BK22/BK50*100%</f>
        <v>1.8570690156070073</v>
      </c>
      <c r="BM22" s="205">
        <v>1</v>
      </c>
      <c r="BN22" s="70">
        <v>1404.4</v>
      </c>
      <c r="BO22" s="71">
        <v>529.48</v>
      </c>
      <c r="BP22" s="58">
        <f>BO22/(BN22+BO22)</f>
        <v>0.2737915485966037</v>
      </c>
      <c r="BQ22" s="208">
        <v>1</v>
      </c>
      <c r="BR22" s="209">
        <v>1</v>
      </c>
      <c r="BS22" s="62">
        <f>1122654.09/1000</f>
        <v>1122.65409</v>
      </c>
      <c r="BT22" s="72">
        <f t="shared" si="18"/>
        <v>0.049625115039318914</v>
      </c>
      <c r="BU22" s="211">
        <f t="shared" si="19"/>
        <v>0.09925023007863783</v>
      </c>
      <c r="BV22" s="169">
        <v>1.615758484497452</v>
      </c>
      <c r="BW22" s="214">
        <f t="shared" si="20"/>
        <v>0.9838424151550255</v>
      </c>
      <c r="BX22" s="219">
        <f>3+2+2</f>
        <v>7</v>
      </c>
      <c r="BY22" s="214">
        <f t="shared" si="21"/>
        <v>0.41666666666666663</v>
      </c>
      <c r="BZ22" s="224">
        <v>0</v>
      </c>
      <c r="CA22" s="33">
        <f>1-BZ22/1</f>
        <v>1</v>
      </c>
      <c r="CB22" s="224">
        <v>1</v>
      </c>
      <c r="CC22" s="221">
        <f t="shared" si="22"/>
        <v>0.75</v>
      </c>
      <c r="CD22" s="225">
        <v>0</v>
      </c>
      <c r="CE22" s="223">
        <f>1-CD22/1</f>
        <v>1</v>
      </c>
      <c r="CF22" s="70">
        <v>1</v>
      </c>
      <c r="CG22" s="221">
        <f t="shared" si="23"/>
        <v>0</v>
      </c>
      <c r="CH22" s="73"/>
      <c r="CI22" s="48"/>
      <c r="CJ22" s="31">
        <v>1</v>
      </c>
      <c r="CK22" s="221">
        <f t="shared" si="24"/>
        <v>0.8333333333333334</v>
      </c>
      <c r="CL22" s="240">
        <f t="shared" si="25"/>
        <v>10</v>
      </c>
      <c r="CM22" s="221">
        <f t="shared" si="26"/>
        <v>0.375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0</v>
      </c>
      <c r="CS22" s="209">
        <f t="shared" si="29"/>
        <v>1</v>
      </c>
      <c r="CT22" s="224">
        <v>0</v>
      </c>
      <c r="CU22" s="33">
        <f t="shared" si="30"/>
        <v>1</v>
      </c>
      <c r="CV22" s="219">
        <f>2+2+2+2</f>
        <v>8</v>
      </c>
      <c r="CW22" s="239">
        <f t="shared" si="31"/>
        <v>0.2727272727272727</v>
      </c>
      <c r="CX22" s="219">
        <v>1</v>
      </c>
      <c r="CY22" s="214">
        <f t="shared" si="32"/>
        <v>0.875</v>
      </c>
      <c r="CZ22" s="241">
        <f t="shared" si="33"/>
        <v>9</v>
      </c>
      <c r="DA22" s="214">
        <f t="shared" si="34"/>
        <v>0.5909090909090908</v>
      </c>
      <c r="DB22" s="252">
        <v>1</v>
      </c>
      <c r="DC22" s="253">
        <v>0.5</v>
      </c>
      <c r="DD22" s="224">
        <v>4</v>
      </c>
      <c r="DE22" s="251">
        <f t="shared" si="35"/>
        <v>0.7142857142857143</v>
      </c>
      <c r="DF22" s="70">
        <v>4</v>
      </c>
      <c r="DG22" s="209">
        <f t="shared" si="36"/>
        <v>0.9111111111111111</v>
      </c>
      <c r="DH22" s="62">
        <v>1</v>
      </c>
      <c r="DI22" s="253">
        <v>0</v>
      </c>
      <c r="DJ22" s="224">
        <v>0</v>
      </c>
      <c r="DK22" s="260">
        <v>1</v>
      </c>
      <c r="DL22" s="220">
        <f t="shared" si="37"/>
        <v>10</v>
      </c>
      <c r="DM22" s="259">
        <f t="shared" si="38"/>
        <v>0.8360655737704918</v>
      </c>
      <c r="DN22" s="175">
        <v>435</v>
      </c>
      <c r="DO22" s="166">
        <f>1-DN22/(2177)*100/100</f>
        <v>0.8001837390904915</v>
      </c>
      <c r="DP22" s="66">
        <v>1</v>
      </c>
      <c r="DQ22" s="28">
        <f t="shared" si="39"/>
        <v>0.75</v>
      </c>
      <c r="DR22" s="45">
        <v>1</v>
      </c>
      <c r="DS22" s="28">
        <v>1</v>
      </c>
      <c r="DT22" s="75"/>
      <c r="DU22" s="45">
        <v>0</v>
      </c>
      <c r="DV22" s="28">
        <v>0</v>
      </c>
      <c r="DW22" s="46"/>
      <c r="DX22" s="45">
        <v>0</v>
      </c>
      <c r="DY22" s="28">
        <v>0</v>
      </c>
      <c r="DZ22" s="76"/>
      <c r="EA22" s="45">
        <v>1</v>
      </c>
      <c r="EB22" s="69">
        <v>1</v>
      </c>
      <c r="EC22" s="49"/>
      <c r="ED22" s="49">
        <v>1</v>
      </c>
      <c r="EE22" s="69">
        <v>1</v>
      </c>
      <c r="EF22" s="49"/>
      <c r="EG22" s="49">
        <v>1</v>
      </c>
      <c r="EH22" s="172">
        <v>1</v>
      </c>
      <c r="EI22" s="75"/>
      <c r="EJ22" s="49"/>
      <c r="EK22" s="158"/>
      <c r="EL22" s="176"/>
      <c r="EM22" s="174"/>
      <c r="EN22" s="50">
        <f t="shared" si="40"/>
        <v>21.1331832465978</v>
      </c>
      <c r="EO22" s="24">
        <f t="shared" si="41"/>
        <v>13</v>
      </c>
      <c r="EP22" s="51">
        <f t="shared" si="42"/>
        <v>0.6333333333333329</v>
      </c>
      <c r="EQ22" s="53" t="s">
        <v>117</v>
      </c>
    </row>
    <row r="23" spans="1:147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AT23*100/AT52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3"/>
        <v>2499.383519206939</v>
      </c>
      <c r="BE23" s="63">
        <f>BD23/BD55*100%</f>
        <v>0.6454603994867367</v>
      </c>
      <c r="BF23" s="203">
        <v>0</v>
      </c>
      <c r="BG23" s="68">
        <f>BD23*100/BD52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BK23/BK55*100%</f>
        <v>0.8015018314203721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0.8333333333333334</v>
      </c>
      <c r="CL23" s="240">
        <f t="shared" si="25"/>
        <v>12</v>
      </c>
      <c r="CM23" s="221">
        <f t="shared" si="26"/>
        <v>0.25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f>2+4+1+3</f>
        <v>10</v>
      </c>
      <c r="CW23" s="239">
        <f t="shared" si="31"/>
        <v>0.09090909090909094</v>
      </c>
      <c r="CX23" s="219">
        <v>7</v>
      </c>
      <c r="CY23" s="214">
        <f t="shared" si="32"/>
        <v>0.125</v>
      </c>
      <c r="CZ23" s="241">
        <f t="shared" si="33"/>
        <v>17</v>
      </c>
      <c r="DA23" s="214">
        <f t="shared" si="34"/>
        <v>0.2272727272727273</v>
      </c>
      <c r="DB23" s="252">
        <v>1</v>
      </c>
      <c r="DC23" s="253">
        <v>0.5</v>
      </c>
      <c r="DD23" s="224">
        <v>9</v>
      </c>
      <c r="DE23" s="251">
        <f t="shared" si="35"/>
        <v>0.3571428571428571</v>
      </c>
      <c r="DF23" s="70">
        <v>1</v>
      </c>
      <c r="DG23" s="209">
        <f t="shared" si="36"/>
        <v>0.9777777777777777</v>
      </c>
      <c r="DH23" s="62">
        <v>1</v>
      </c>
      <c r="DI23" s="253">
        <v>0</v>
      </c>
      <c r="DJ23" s="224">
        <v>6</v>
      </c>
      <c r="DK23" s="260">
        <v>0</v>
      </c>
      <c r="DL23" s="220">
        <f t="shared" si="37"/>
        <v>18</v>
      </c>
      <c r="DM23" s="259">
        <f t="shared" si="38"/>
        <v>0.7049180327868853</v>
      </c>
      <c r="DN23" s="175">
        <v>202</v>
      </c>
      <c r="DO23" s="166">
        <f>1-DN23/(2018)*100/100</f>
        <v>0.8999008919722498</v>
      </c>
      <c r="DP23" s="66">
        <v>1</v>
      </c>
      <c r="DQ23" s="28">
        <f t="shared" si="39"/>
        <v>0.75</v>
      </c>
      <c r="DR23" s="45">
        <v>1</v>
      </c>
      <c r="DS23" s="28">
        <v>1</v>
      </c>
      <c r="DT23" s="75"/>
      <c r="DU23" s="45">
        <v>1</v>
      </c>
      <c r="DV23" s="28">
        <v>1</v>
      </c>
      <c r="DW23" s="46"/>
      <c r="DX23" s="45">
        <v>1</v>
      </c>
      <c r="DY23" s="28">
        <v>1</v>
      </c>
      <c r="DZ23" s="76"/>
      <c r="EA23" s="45">
        <v>1</v>
      </c>
      <c r="EB23" s="69">
        <v>1</v>
      </c>
      <c r="EC23" s="49"/>
      <c r="ED23" s="49">
        <v>1</v>
      </c>
      <c r="EE23" s="69">
        <v>1</v>
      </c>
      <c r="EF23" s="49"/>
      <c r="EG23" s="49">
        <v>1</v>
      </c>
      <c r="EH23" s="172">
        <v>1</v>
      </c>
      <c r="EI23" s="75"/>
      <c r="EJ23" s="49"/>
      <c r="EK23" s="158"/>
      <c r="EL23" s="176"/>
      <c r="EM23" s="174"/>
      <c r="EN23" s="50">
        <f t="shared" si="40"/>
        <v>21.12358626743063</v>
      </c>
      <c r="EO23" s="24">
        <f t="shared" si="41"/>
        <v>14</v>
      </c>
      <c r="EP23" s="51">
        <f t="shared" si="42"/>
        <v>0.6333333333333329</v>
      </c>
      <c r="EQ23" s="52" t="s">
        <v>116</v>
      </c>
    </row>
    <row r="24" spans="1:147" s="54" customFormat="1" ht="18.75">
      <c r="A24" s="55">
        <f t="shared" si="0"/>
        <v>15</v>
      </c>
      <c r="B24" s="56" t="s">
        <v>126</v>
      </c>
      <c r="C24" s="57">
        <v>0</v>
      </c>
      <c r="D24" s="158">
        <v>1</v>
      </c>
      <c r="E24" s="57">
        <v>0</v>
      </c>
      <c r="F24" s="158">
        <v>1</v>
      </c>
      <c r="G24" s="189">
        <v>9138.9</v>
      </c>
      <c r="H24" s="185">
        <v>10106.00717</v>
      </c>
      <c r="I24" s="58">
        <f t="shared" si="1"/>
        <v>-0.10582314830012378</v>
      </c>
      <c r="J24" s="78">
        <f>100%+I24/20%</f>
        <v>0.4708842584993811</v>
      </c>
      <c r="K24" s="189">
        <v>10106.00717</v>
      </c>
      <c r="L24" s="185">
        <v>17160.13408</v>
      </c>
      <c r="M24" s="58">
        <f t="shared" si="2"/>
        <v>0.5889235551940396</v>
      </c>
      <c r="N24" s="59">
        <v>0.8</v>
      </c>
      <c r="O24" s="189">
        <v>10106.00717</v>
      </c>
      <c r="P24" s="185">
        <v>10197.46602</v>
      </c>
      <c r="Q24" s="58">
        <f t="shared" si="3"/>
        <v>0.9910312179691873</v>
      </c>
      <c r="R24" s="28">
        <f>Q24/95%</f>
        <v>1.0431907557570392</v>
      </c>
      <c r="S24" s="189">
        <v>10106.00717</v>
      </c>
      <c r="T24" s="185">
        <v>7335.46107</v>
      </c>
      <c r="U24" s="61">
        <f t="shared" si="4"/>
        <v>1.3776921550754</v>
      </c>
      <c r="V24" s="155">
        <v>1</v>
      </c>
      <c r="W24" s="189">
        <v>2086.5532</v>
      </c>
      <c r="X24" s="185">
        <v>2015.3319</v>
      </c>
      <c r="Y24" s="61">
        <f t="shared" si="5"/>
        <v>0.9658665305059081</v>
      </c>
      <c r="Z24" s="155">
        <v>0.03</v>
      </c>
      <c r="AA24" s="189">
        <v>2015.3319</v>
      </c>
      <c r="AB24" s="185">
        <v>9506.14031</v>
      </c>
      <c r="AC24" s="61">
        <f t="shared" si="6"/>
        <v>0.21200317208446504</v>
      </c>
      <c r="AD24" s="181">
        <f t="shared" si="7"/>
        <v>0.7879968279155349</v>
      </c>
      <c r="AE24" s="184">
        <v>7054.12691</v>
      </c>
      <c r="AF24" s="185">
        <v>17160.13408</v>
      </c>
      <c r="AG24" s="185">
        <v>302.45</v>
      </c>
      <c r="AH24" s="58">
        <f t="shared" si="8"/>
        <v>0.41845172068261943</v>
      </c>
      <c r="AI24" s="60">
        <v>0.8</v>
      </c>
      <c r="AJ24" s="195">
        <v>775.2</v>
      </c>
      <c r="AK24" s="196">
        <v>434.7</v>
      </c>
      <c r="AL24" s="196">
        <f t="shared" si="9"/>
        <v>340.50000000000006</v>
      </c>
      <c r="AM24" s="147">
        <v>0</v>
      </c>
      <c r="AN24" s="62">
        <v>2956.6</v>
      </c>
      <c r="AO24" s="62">
        <v>3292.7</v>
      </c>
      <c r="AP24" s="63">
        <f t="shared" si="10"/>
        <v>0.8979257144592584</v>
      </c>
      <c r="AQ24" s="64">
        <v>1</v>
      </c>
      <c r="AR24" s="65">
        <f>AT24*100/AT53</f>
        <v>4.617578863114741</v>
      </c>
      <c r="AS24" s="144">
        <v>17670.52</v>
      </c>
      <c r="AT24" s="62">
        <v>17670.5</v>
      </c>
      <c r="AU24" s="62">
        <v>6082.9</v>
      </c>
      <c r="AV24" s="26">
        <f t="shared" si="11"/>
        <v>0.34424001104664714</v>
      </c>
      <c r="AW24" s="203">
        <v>1</v>
      </c>
      <c r="AX24" s="62">
        <v>2883.66</v>
      </c>
      <c r="AY24" s="66">
        <f t="shared" si="12"/>
        <v>97.53297706825408</v>
      </c>
      <c r="AZ24" s="66">
        <f t="shared" si="13"/>
        <v>47.40600700323859</v>
      </c>
      <c r="BA24" s="203">
        <v>0</v>
      </c>
      <c r="BB24" s="203">
        <v>1</v>
      </c>
      <c r="BC24" s="67">
        <v>5354</v>
      </c>
      <c r="BD24" s="31">
        <f t="shared" si="43"/>
        <v>3300.4333208815838</v>
      </c>
      <c r="BE24" s="63">
        <f>BD24/BD57*100%</f>
        <v>0.8523297818861802</v>
      </c>
      <c r="BF24" s="203">
        <v>0.8</v>
      </c>
      <c r="BG24" s="68">
        <f>BD24*100/BD53</f>
        <v>85.23297818861802</v>
      </c>
      <c r="BH24" s="69">
        <f t="shared" si="14"/>
        <v>57.14703713725225</v>
      </c>
      <c r="BI24" s="69">
        <f t="shared" si="15"/>
        <v>9.561751506748536</v>
      </c>
      <c r="BJ24" s="62">
        <f>1689609.3/1000</f>
        <v>1689.6093</v>
      </c>
      <c r="BK24" s="66">
        <f t="shared" si="16"/>
        <v>315.5788756070228</v>
      </c>
      <c r="BL24" s="58">
        <f>BK24/BK57*100%</f>
        <v>0.4617046634732024</v>
      </c>
      <c r="BM24" s="205">
        <v>0</v>
      </c>
      <c r="BN24" s="70">
        <v>0</v>
      </c>
      <c r="BO24" s="71">
        <v>0</v>
      </c>
      <c r="BP24" s="58"/>
      <c r="BQ24" s="208"/>
      <c r="BR24" s="209"/>
      <c r="BS24" s="62">
        <f>680001.86/1000</f>
        <v>680.00186</v>
      </c>
      <c r="BT24" s="72">
        <f t="shared" si="18"/>
        <v>0.03848232138309612</v>
      </c>
      <c r="BU24" s="211">
        <f t="shared" si="19"/>
        <v>0.07696464276619223</v>
      </c>
      <c r="BV24" s="169">
        <v>1.3370342818605623</v>
      </c>
      <c r="BW24" s="214">
        <f t="shared" si="20"/>
        <v>0.9866296571813944</v>
      </c>
      <c r="BX24" s="219">
        <f>2+2+1</f>
        <v>5</v>
      </c>
      <c r="BY24" s="214">
        <f t="shared" si="21"/>
        <v>0.5833333333333333</v>
      </c>
      <c r="BZ24" s="224">
        <v>1</v>
      </c>
      <c r="CA24" s="33">
        <v>0</v>
      </c>
      <c r="CB24" s="224">
        <v>2</v>
      </c>
      <c r="CC24" s="221">
        <f t="shared" si="22"/>
        <v>0.5</v>
      </c>
      <c r="CD24" s="225">
        <v>1</v>
      </c>
      <c r="CE24" s="223">
        <v>0.5</v>
      </c>
      <c r="CF24" s="70"/>
      <c r="CG24" s="221">
        <f t="shared" si="23"/>
        <v>1</v>
      </c>
      <c r="CH24" s="73"/>
      <c r="CI24" s="48"/>
      <c r="CJ24" s="31"/>
      <c r="CK24" s="221">
        <f t="shared" si="24"/>
        <v>1</v>
      </c>
      <c r="CL24" s="240">
        <f t="shared" si="25"/>
        <v>9</v>
      </c>
      <c r="CM24" s="221">
        <f t="shared" si="26"/>
        <v>0.4375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2</v>
      </c>
      <c r="CS24" s="209">
        <f t="shared" si="29"/>
        <v>0.33333333333333337</v>
      </c>
      <c r="CT24" s="224">
        <v>0</v>
      </c>
      <c r="CU24" s="33">
        <f t="shared" si="30"/>
        <v>1</v>
      </c>
      <c r="CV24" s="219">
        <f>3+3+1+1</f>
        <v>8</v>
      </c>
      <c r="CW24" s="239">
        <f t="shared" si="31"/>
        <v>0.2727272727272727</v>
      </c>
      <c r="CX24" s="219">
        <v>1</v>
      </c>
      <c r="CY24" s="214">
        <f t="shared" si="32"/>
        <v>0.875</v>
      </c>
      <c r="CZ24" s="241">
        <f t="shared" si="33"/>
        <v>11</v>
      </c>
      <c r="DA24" s="214">
        <f t="shared" si="34"/>
        <v>0.5</v>
      </c>
      <c r="DB24" s="252">
        <v>0</v>
      </c>
      <c r="DC24" s="253">
        <v>1</v>
      </c>
      <c r="DD24" s="224">
        <v>6</v>
      </c>
      <c r="DE24" s="251">
        <f t="shared" si="35"/>
        <v>0.5714285714285714</v>
      </c>
      <c r="DF24" s="70">
        <v>2</v>
      </c>
      <c r="DG24" s="209">
        <f t="shared" si="36"/>
        <v>0.9555555555555556</v>
      </c>
      <c r="DH24" s="62">
        <v>1</v>
      </c>
      <c r="DI24" s="253">
        <v>0</v>
      </c>
      <c r="DJ24" s="224">
        <v>6</v>
      </c>
      <c r="DK24" s="260">
        <v>0</v>
      </c>
      <c r="DL24" s="220">
        <f t="shared" si="37"/>
        <v>15</v>
      </c>
      <c r="DM24" s="259">
        <f t="shared" si="38"/>
        <v>0.7540983606557377</v>
      </c>
      <c r="DN24" s="175">
        <v>495</v>
      </c>
      <c r="DO24" s="166">
        <f>1-DN24/(2477)*100/100</f>
        <v>0.8001614856681469</v>
      </c>
      <c r="DP24" s="66">
        <v>1</v>
      </c>
      <c r="DQ24" s="28">
        <f t="shared" si="39"/>
        <v>0.75</v>
      </c>
      <c r="DR24" s="45">
        <v>1</v>
      </c>
      <c r="DS24" s="28">
        <v>1</v>
      </c>
      <c r="DT24" s="75"/>
      <c r="DU24" s="45">
        <v>1</v>
      </c>
      <c r="DV24" s="28">
        <v>1</v>
      </c>
      <c r="DW24" s="46"/>
      <c r="DX24" s="45">
        <v>1</v>
      </c>
      <c r="DY24" s="28">
        <v>1</v>
      </c>
      <c r="DZ24" s="76"/>
      <c r="EA24" s="45">
        <v>1</v>
      </c>
      <c r="EB24" s="69">
        <v>1</v>
      </c>
      <c r="EC24" s="49"/>
      <c r="ED24" s="49">
        <v>1</v>
      </c>
      <c r="EE24" s="69">
        <v>1</v>
      </c>
      <c r="EF24" s="49"/>
      <c r="EG24" s="49">
        <v>1</v>
      </c>
      <c r="EH24" s="172">
        <v>1</v>
      </c>
      <c r="EI24" s="75"/>
      <c r="EJ24" s="49"/>
      <c r="EK24" s="158"/>
      <c r="EL24" s="176"/>
      <c r="EM24" s="174"/>
      <c r="EN24" s="50">
        <f t="shared" si="40"/>
        <v>21.037425988443424</v>
      </c>
      <c r="EO24" s="24">
        <f t="shared" si="41"/>
        <v>15</v>
      </c>
      <c r="EP24" s="51">
        <f t="shared" si="42"/>
        <v>0.6333333333333329</v>
      </c>
      <c r="EQ24" s="53" t="s">
        <v>117</v>
      </c>
    </row>
    <row r="25" spans="1:147" s="54" customFormat="1" ht="18.75">
      <c r="A25" s="55">
        <f t="shared" si="0"/>
        <v>16</v>
      </c>
      <c r="B25" s="56" t="s">
        <v>130</v>
      </c>
      <c r="C25" s="57">
        <v>0</v>
      </c>
      <c r="D25" s="158">
        <v>1</v>
      </c>
      <c r="E25" s="57">
        <v>0</v>
      </c>
      <c r="F25" s="158">
        <v>1</v>
      </c>
      <c r="G25" s="189">
        <v>6060.7</v>
      </c>
      <c r="H25" s="185">
        <v>6864.67329</v>
      </c>
      <c r="I25" s="58">
        <f t="shared" si="1"/>
        <v>-0.13265353672018082</v>
      </c>
      <c r="J25" s="151">
        <v>0.3</v>
      </c>
      <c r="K25" s="189">
        <v>6864.67329</v>
      </c>
      <c r="L25" s="185">
        <v>10470.55849</v>
      </c>
      <c r="M25" s="58">
        <f t="shared" si="2"/>
        <v>0.6556167272792723</v>
      </c>
      <c r="N25" s="59">
        <v>0.8</v>
      </c>
      <c r="O25" s="189">
        <v>6864.67329</v>
      </c>
      <c r="P25" s="185">
        <v>6360.77329</v>
      </c>
      <c r="Q25" s="58">
        <f t="shared" si="3"/>
        <v>1.079219927676435</v>
      </c>
      <c r="R25" s="28">
        <v>1</v>
      </c>
      <c r="S25" s="189">
        <v>6864.67329</v>
      </c>
      <c r="T25" s="185">
        <v>5950.83075</v>
      </c>
      <c r="U25" s="61">
        <f t="shared" si="4"/>
        <v>1.1535655404079506</v>
      </c>
      <c r="V25" s="155">
        <v>1</v>
      </c>
      <c r="W25" s="189">
        <v>611.9462</v>
      </c>
      <c r="X25" s="185">
        <v>2070.5514</v>
      </c>
      <c r="Y25" s="61">
        <f t="shared" si="5"/>
        <v>3.3835513644826944</v>
      </c>
      <c r="Z25" s="155">
        <v>0</v>
      </c>
      <c r="AA25" s="189">
        <v>2070.5514</v>
      </c>
      <c r="AB25" s="185">
        <v>6017.53803</v>
      </c>
      <c r="AC25" s="61">
        <f t="shared" si="6"/>
        <v>0.34408613450840125</v>
      </c>
      <c r="AD25" s="181">
        <f t="shared" si="7"/>
        <v>0.6559138654915988</v>
      </c>
      <c r="AE25" s="184">
        <v>3605.8852</v>
      </c>
      <c r="AF25" s="185">
        <v>10470.55849</v>
      </c>
      <c r="AG25" s="185">
        <v>138.46</v>
      </c>
      <c r="AH25" s="58">
        <f t="shared" si="8"/>
        <v>0.34899833789718354</v>
      </c>
      <c r="AI25" s="60">
        <v>0.8</v>
      </c>
      <c r="AJ25" s="195">
        <v>2541.5</v>
      </c>
      <c r="AK25" s="196">
        <v>-517.8</v>
      </c>
      <c r="AL25" s="196">
        <f t="shared" si="9"/>
        <v>3059.3</v>
      </c>
      <c r="AM25" s="147">
        <v>0</v>
      </c>
      <c r="AN25" s="62">
        <v>2166</v>
      </c>
      <c r="AO25" s="62">
        <v>2572.5</v>
      </c>
      <c r="AP25" s="63">
        <f t="shared" si="10"/>
        <v>0.8419825072886298</v>
      </c>
      <c r="AQ25" s="64">
        <v>1</v>
      </c>
      <c r="AR25" s="65">
        <f>AT25*100/AT54</f>
        <v>3.211700462189057</v>
      </c>
      <c r="AS25" s="144">
        <v>12290.45</v>
      </c>
      <c r="AT25" s="62">
        <v>12290.5</v>
      </c>
      <c r="AU25" s="62">
        <v>4132.4</v>
      </c>
      <c r="AV25" s="26">
        <f t="shared" si="11"/>
        <v>0.33622853516348056</v>
      </c>
      <c r="AW25" s="203">
        <v>1</v>
      </c>
      <c r="AX25" s="62">
        <v>2164.17</v>
      </c>
      <c r="AY25" s="66">
        <f t="shared" si="12"/>
        <v>99.91551246537396</v>
      </c>
      <c r="AZ25" s="66">
        <f t="shared" si="13"/>
        <v>52.3707772722873</v>
      </c>
      <c r="BA25" s="203">
        <v>0</v>
      </c>
      <c r="BB25" s="203">
        <v>1</v>
      </c>
      <c r="BC25" s="67">
        <v>2789</v>
      </c>
      <c r="BD25" s="31">
        <f t="shared" si="43"/>
        <v>4406.758694872714</v>
      </c>
      <c r="BE25" s="63">
        <f>BD25/BD57*100%</f>
        <v>1.1380359219687597</v>
      </c>
      <c r="BF25" s="203">
        <v>1</v>
      </c>
      <c r="BG25" s="68">
        <f>BD25*100/BD54</f>
        <v>113.80359219687598</v>
      </c>
      <c r="BH25" s="69">
        <f t="shared" si="14"/>
        <v>64.66352585410895</v>
      </c>
      <c r="BI25" s="69">
        <f t="shared" si="15"/>
        <v>11.395890891338837</v>
      </c>
      <c r="BJ25" s="62">
        <f>1400611.97/1000</f>
        <v>1400.61197</v>
      </c>
      <c r="BK25" s="66">
        <f t="shared" si="16"/>
        <v>502.19145571889567</v>
      </c>
      <c r="BL25" s="58">
        <f>BK25/BK57*100%</f>
        <v>0.7347264186039534</v>
      </c>
      <c r="BM25" s="205">
        <v>0</v>
      </c>
      <c r="BN25" s="70">
        <v>0</v>
      </c>
      <c r="BO25" s="71">
        <v>0</v>
      </c>
      <c r="BP25" s="58"/>
      <c r="BQ25" s="208"/>
      <c r="BR25" s="209"/>
      <c r="BS25" s="62">
        <f>1082831.78/1000</f>
        <v>1082.83178</v>
      </c>
      <c r="BT25" s="72">
        <f t="shared" si="18"/>
        <v>0.08810315121435254</v>
      </c>
      <c r="BU25" s="211">
        <f t="shared" si="19"/>
        <v>0.17620630242870508</v>
      </c>
      <c r="BV25" s="169">
        <v>0</v>
      </c>
      <c r="BW25" s="214">
        <f t="shared" si="20"/>
        <v>1</v>
      </c>
      <c r="BX25" s="219">
        <f>2+1+1</f>
        <v>4</v>
      </c>
      <c r="BY25" s="214">
        <f t="shared" si="21"/>
        <v>0.6666666666666667</v>
      </c>
      <c r="BZ25" s="224">
        <v>0</v>
      </c>
      <c r="CA25" s="33">
        <v>1</v>
      </c>
      <c r="CB25" s="224">
        <v>0</v>
      </c>
      <c r="CC25" s="221">
        <f t="shared" si="22"/>
        <v>1</v>
      </c>
      <c r="CD25" s="225">
        <v>0</v>
      </c>
      <c r="CE25" s="223">
        <f>1-CD25/1</f>
        <v>1</v>
      </c>
      <c r="CF25" s="70"/>
      <c r="CG25" s="221">
        <f t="shared" si="23"/>
        <v>1</v>
      </c>
      <c r="CH25" s="73"/>
      <c r="CI25" s="48"/>
      <c r="CJ25" s="31"/>
      <c r="CK25" s="221">
        <f t="shared" si="24"/>
        <v>1</v>
      </c>
      <c r="CL25" s="240">
        <f t="shared" si="25"/>
        <v>4</v>
      </c>
      <c r="CM25" s="221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224">
        <v>0</v>
      </c>
      <c r="CS25" s="209">
        <f t="shared" si="29"/>
        <v>1</v>
      </c>
      <c r="CT25" s="224">
        <v>0</v>
      </c>
      <c r="CU25" s="33">
        <f t="shared" si="30"/>
        <v>1</v>
      </c>
      <c r="CV25" s="219">
        <f>2+4+1+2</f>
        <v>9</v>
      </c>
      <c r="CW25" s="239">
        <f t="shared" si="31"/>
        <v>0.18181818181818177</v>
      </c>
      <c r="CX25" s="219">
        <v>2</v>
      </c>
      <c r="CY25" s="214">
        <f t="shared" si="32"/>
        <v>0.75</v>
      </c>
      <c r="CZ25" s="241">
        <f t="shared" si="33"/>
        <v>11</v>
      </c>
      <c r="DA25" s="214">
        <f t="shared" si="34"/>
        <v>0.5</v>
      </c>
      <c r="DB25" s="252">
        <v>2</v>
      </c>
      <c r="DC25" s="253">
        <v>0</v>
      </c>
      <c r="DD25" s="224">
        <v>3</v>
      </c>
      <c r="DE25" s="251">
        <f t="shared" si="35"/>
        <v>0.7857142857142857</v>
      </c>
      <c r="DF25" s="70">
        <v>0</v>
      </c>
      <c r="DG25" s="209">
        <f t="shared" si="36"/>
        <v>1</v>
      </c>
      <c r="DH25" s="62">
        <v>0</v>
      </c>
      <c r="DI25" s="253">
        <v>1</v>
      </c>
      <c r="DJ25" s="224">
        <v>3</v>
      </c>
      <c r="DK25" s="260">
        <v>0.5</v>
      </c>
      <c r="DL25" s="220">
        <f t="shared" si="37"/>
        <v>8</v>
      </c>
      <c r="DM25" s="259">
        <f t="shared" si="38"/>
        <v>0.8688524590163934</v>
      </c>
      <c r="DN25" s="175">
        <v>253</v>
      </c>
      <c r="DO25" s="166">
        <f>1-DN25/(1259)*100/100</f>
        <v>0.7990468625893566</v>
      </c>
      <c r="DP25" s="66">
        <v>3</v>
      </c>
      <c r="DQ25" s="28">
        <f t="shared" si="39"/>
        <v>0.25</v>
      </c>
      <c r="DR25" s="45">
        <v>1</v>
      </c>
      <c r="DS25" s="28">
        <v>1</v>
      </c>
      <c r="DT25" s="75"/>
      <c r="DU25" s="45">
        <v>1</v>
      </c>
      <c r="DV25" s="28">
        <v>1</v>
      </c>
      <c r="DW25" s="46"/>
      <c r="DX25" s="45">
        <v>1</v>
      </c>
      <c r="DY25" s="28">
        <v>1</v>
      </c>
      <c r="DZ25" s="76"/>
      <c r="EA25" s="45">
        <v>1</v>
      </c>
      <c r="EB25" s="69">
        <v>1</v>
      </c>
      <c r="EC25" s="49"/>
      <c r="ED25" s="49">
        <v>1</v>
      </c>
      <c r="EE25" s="69">
        <v>1</v>
      </c>
      <c r="EF25" s="49"/>
      <c r="EG25" s="49">
        <v>1</v>
      </c>
      <c r="EH25" s="172">
        <v>1</v>
      </c>
      <c r="EI25" s="75"/>
      <c r="EJ25" s="49"/>
      <c r="EK25" s="158"/>
      <c r="EL25" s="176"/>
      <c r="EM25" s="174"/>
      <c r="EN25" s="50">
        <f t="shared" si="40"/>
        <v>20.900019489526052</v>
      </c>
      <c r="EO25" s="24">
        <f t="shared" si="41"/>
        <v>16</v>
      </c>
      <c r="EP25" s="51">
        <f t="shared" si="42"/>
        <v>0.6333333333333329</v>
      </c>
      <c r="EQ25" s="52" t="s">
        <v>116</v>
      </c>
    </row>
    <row r="26" spans="1:147" s="54" customFormat="1" ht="18.75">
      <c r="A26" s="55">
        <f t="shared" si="0"/>
        <v>17</v>
      </c>
      <c r="B26" s="56" t="s">
        <v>122</v>
      </c>
      <c r="C26" s="57">
        <v>0</v>
      </c>
      <c r="D26" s="158">
        <v>1</v>
      </c>
      <c r="E26" s="57">
        <v>0</v>
      </c>
      <c r="F26" s="158">
        <v>1</v>
      </c>
      <c r="G26" s="189">
        <v>5353.2755</v>
      </c>
      <c r="H26" s="185">
        <v>9916.48897</v>
      </c>
      <c r="I26" s="58">
        <f t="shared" si="1"/>
        <v>-0.8524152119576137</v>
      </c>
      <c r="J26" s="151">
        <v>0</v>
      </c>
      <c r="K26" s="189">
        <v>9916.48897</v>
      </c>
      <c r="L26" s="185">
        <v>12675.87847</v>
      </c>
      <c r="M26" s="58">
        <f t="shared" si="2"/>
        <v>0.7823117737732619</v>
      </c>
      <c r="N26" s="159">
        <v>1</v>
      </c>
      <c r="O26" s="189">
        <v>9916.48897</v>
      </c>
      <c r="P26" s="185">
        <v>7609.06351</v>
      </c>
      <c r="Q26" s="58">
        <f t="shared" si="3"/>
        <v>1.303246970795753</v>
      </c>
      <c r="R26" s="28">
        <v>1</v>
      </c>
      <c r="S26" s="189">
        <v>9916.48897</v>
      </c>
      <c r="T26" s="185">
        <v>29527.71182</v>
      </c>
      <c r="U26" s="61">
        <f t="shared" si="4"/>
        <v>0.3358366889534348</v>
      </c>
      <c r="V26" s="155">
        <v>0</v>
      </c>
      <c r="W26" s="189">
        <v>438.7837</v>
      </c>
      <c r="X26" s="185">
        <v>518.0379</v>
      </c>
      <c r="Y26" s="61">
        <f t="shared" si="5"/>
        <v>1.1806224798232023</v>
      </c>
      <c r="Z26" s="155">
        <v>0</v>
      </c>
      <c r="AA26" s="189">
        <v>518.0379</v>
      </c>
      <c r="AB26" s="185">
        <v>9545.96734</v>
      </c>
      <c r="AC26" s="61">
        <f t="shared" si="6"/>
        <v>0.05426772180848464</v>
      </c>
      <c r="AD26" s="181">
        <f t="shared" si="7"/>
        <v>0.9457322781915154</v>
      </c>
      <c r="AE26" s="184">
        <v>2759.3895</v>
      </c>
      <c r="AF26" s="185">
        <v>12675.87847</v>
      </c>
      <c r="AG26" s="185">
        <v>204.01</v>
      </c>
      <c r="AH26" s="58">
        <f t="shared" si="8"/>
        <v>0.22124908602407675</v>
      </c>
      <c r="AI26" s="158">
        <v>1</v>
      </c>
      <c r="AJ26" s="195">
        <v>12872.2</v>
      </c>
      <c r="AK26" s="196">
        <v>-18782.6</v>
      </c>
      <c r="AL26" s="196">
        <f t="shared" si="9"/>
        <v>31654.8</v>
      </c>
      <c r="AM26" s="147">
        <v>0</v>
      </c>
      <c r="AN26" s="62">
        <v>2706.6</v>
      </c>
      <c r="AO26" s="62">
        <v>2914.1</v>
      </c>
      <c r="AP26" s="63">
        <f t="shared" si="10"/>
        <v>0.928794482001304</v>
      </c>
      <c r="AQ26" s="64">
        <v>1</v>
      </c>
      <c r="AR26" s="65">
        <f>AT26*100/AT53</f>
        <v>6.020086291666459</v>
      </c>
      <c r="AS26" s="144">
        <v>23037.58</v>
      </c>
      <c r="AT26" s="62">
        <v>23037.6</v>
      </c>
      <c r="AU26" s="62">
        <v>6303.2</v>
      </c>
      <c r="AV26" s="26">
        <f t="shared" si="11"/>
        <v>0.27360512692739425</v>
      </c>
      <c r="AW26" s="203">
        <v>1</v>
      </c>
      <c r="AX26" s="62">
        <v>2652.35</v>
      </c>
      <c r="AY26" s="66">
        <f t="shared" si="12"/>
        <v>97.99564028670657</v>
      </c>
      <c r="AZ26" s="66">
        <f t="shared" si="13"/>
        <v>42.079419977154465</v>
      </c>
      <c r="BA26" s="203">
        <v>0</v>
      </c>
      <c r="BB26" s="203">
        <v>1</v>
      </c>
      <c r="BC26" s="67">
        <v>3721</v>
      </c>
      <c r="BD26" s="31">
        <f t="shared" si="43"/>
        <v>6191.233539371136</v>
      </c>
      <c r="BE26" s="63">
        <f>BD26/BD53*100%</f>
        <v>1.598872699179108</v>
      </c>
      <c r="BF26" s="203">
        <v>1</v>
      </c>
      <c r="BG26" s="68">
        <f>BD26*100/BD53</f>
        <v>159.8872699179108</v>
      </c>
      <c r="BH26" s="69">
        <f t="shared" si="14"/>
        <v>157.91215288553906</v>
      </c>
      <c r="BI26" s="69">
        <f t="shared" si="15"/>
        <v>18.552498220300727</v>
      </c>
      <c r="BJ26" s="62">
        <f>4274050.33/1000</f>
        <v>4274.05033</v>
      </c>
      <c r="BK26" s="66">
        <f t="shared" si="16"/>
        <v>1148.629489384574</v>
      </c>
      <c r="BL26" s="58">
        <f>BK26/BK53*100%</f>
        <v>1.6804914170240466</v>
      </c>
      <c r="BM26" s="205">
        <v>1</v>
      </c>
      <c r="BN26" s="70">
        <v>835.4</v>
      </c>
      <c r="BO26" s="71">
        <v>177.09</v>
      </c>
      <c r="BP26" s="58">
        <f>BO26/(BN26+BO26)</f>
        <v>0.17490543116475224</v>
      </c>
      <c r="BQ26" s="208">
        <v>1</v>
      </c>
      <c r="BR26" s="209">
        <v>1</v>
      </c>
      <c r="BS26" s="62">
        <f>137220/1000</f>
        <v>137.22</v>
      </c>
      <c r="BT26" s="72">
        <f t="shared" si="18"/>
        <v>0.0059563496197520575</v>
      </c>
      <c r="BU26" s="211">
        <f t="shared" si="19"/>
        <v>0.011912699239504115</v>
      </c>
      <c r="BV26" s="169">
        <v>0</v>
      </c>
      <c r="BW26" s="214">
        <f t="shared" si="20"/>
        <v>1</v>
      </c>
      <c r="BX26" s="219">
        <f>3+2+2</f>
        <v>7</v>
      </c>
      <c r="BY26" s="214">
        <f t="shared" si="21"/>
        <v>0.41666666666666663</v>
      </c>
      <c r="BZ26" s="224">
        <v>1</v>
      </c>
      <c r="CA26" s="33">
        <v>0</v>
      </c>
      <c r="CB26" s="224">
        <v>0</v>
      </c>
      <c r="CC26" s="221">
        <f t="shared" si="22"/>
        <v>1</v>
      </c>
      <c r="CD26" s="225">
        <v>0</v>
      </c>
      <c r="CE26" s="223">
        <f>1-CD26/1</f>
        <v>1</v>
      </c>
      <c r="CF26" s="70">
        <v>1</v>
      </c>
      <c r="CG26" s="221">
        <f t="shared" si="23"/>
        <v>0</v>
      </c>
      <c r="CH26" s="73"/>
      <c r="CI26" s="48"/>
      <c r="CJ26" s="31"/>
      <c r="CK26" s="221">
        <f t="shared" si="24"/>
        <v>1</v>
      </c>
      <c r="CL26" s="240">
        <f t="shared" si="25"/>
        <v>9</v>
      </c>
      <c r="CM26" s="221">
        <f t="shared" si="26"/>
        <v>0.4375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f>3+3+2+2</f>
        <v>10</v>
      </c>
      <c r="CW26" s="239">
        <f t="shared" si="31"/>
        <v>0.09090909090909094</v>
      </c>
      <c r="CX26" s="219">
        <v>4</v>
      </c>
      <c r="CY26" s="214">
        <f t="shared" si="32"/>
        <v>0.5</v>
      </c>
      <c r="CZ26" s="241">
        <f t="shared" si="33"/>
        <v>14</v>
      </c>
      <c r="DA26" s="214">
        <f t="shared" si="34"/>
        <v>0.36363636363636365</v>
      </c>
      <c r="DB26" s="252">
        <v>1</v>
      </c>
      <c r="DC26" s="253">
        <v>0.5</v>
      </c>
      <c r="DD26" s="224">
        <v>14</v>
      </c>
      <c r="DE26" s="251">
        <f t="shared" si="35"/>
        <v>0</v>
      </c>
      <c r="DF26" s="70">
        <v>44</v>
      </c>
      <c r="DG26" s="209">
        <f t="shared" si="36"/>
        <v>0.022222222222222254</v>
      </c>
      <c r="DH26" s="62">
        <v>1</v>
      </c>
      <c r="DI26" s="253">
        <v>0</v>
      </c>
      <c r="DJ26" s="224">
        <v>1</v>
      </c>
      <c r="DK26" s="260">
        <v>0.8</v>
      </c>
      <c r="DL26" s="220">
        <f t="shared" si="37"/>
        <v>61</v>
      </c>
      <c r="DM26" s="259">
        <f t="shared" si="38"/>
        <v>0</v>
      </c>
      <c r="DN26" s="175">
        <v>197</v>
      </c>
      <c r="DO26" s="166">
        <f>1-DN26/(1969)*100/100</f>
        <v>0.8999492127983748</v>
      </c>
      <c r="DP26" s="66">
        <v>4</v>
      </c>
      <c r="DQ26" s="28">
        <f t="shared" si="39"/>
        <v>0</v>
      </c>
      <c r="DR26" s="45">
        <v>1</v>
      </c>
      <c r="DS26" s="28">
        <v>1</v>
      </c>
      <c r="DT26" s="75"/>
      <c r="DU26" s="45">
        <v>1</v>
      </c>
      <c r="DV26" s="28">
        <v>1</v>
      </c>
      <c r="DW26" s="46"/>
      <c r="DX26" s="45">
        <v>1</v>
      </c>
      <c r="DY26" s="28">
        <v>1</v>
      </c>
      <c r="DZ26" s="76"/>
      <c r="EA26" s="45">
        <v>1</v>
      </c>
      <c r="EB26" s="69">
        <v>1</v>
      </c>
      <c r="EC26" s="49"/>
      <c r="ED26" s="49">
        <v>1</v>
      </c>
      <c r="EE26" s="69">
        <v>1</v>
      </c>
      <c r="EF26" s="49"/>
      <c r="EG26" s="49">
        <v>1</v>
      </c>
      <c r="EH26" s="172">
        <v>1</v>
      </c>
      <c r="EI26" s="75"/>
      <c r="EJ26" s="49"/>
      <c r="EK26" s="158"/>
      <c r="EL26" s="176"/>
      <c r="EM26" s="174"/>
      <c r="EN26" s="50">
        <f t="shared" si="40"/>
        <v>20.65873055386576</v>
      </c>
      <c r="EO26" s="24">
        <f t="shared" si="41"/>
        <v>17</v>
      </c>
      <c r="EP26" s="51">
        <f t="shared" si="42"/>
        <v>0.6333333333333329</v>
      </c>
      <c r="EQ26" s="77" t="s">
        <v>116</v>
      </c>
    </row>
    <row r="27" spans="1:147" s="54" customFormat="1" ht="18.75">
      <c r="A27" s="55">
        <f t="shared" si="0"/>
        <v>18</v>
      </c>
      <c r="B27" s="56" t="s">
        <v>124</v>
      </c>
      <c r="C27" s="57">
        <v>0</v>
      </c>
      <c r="D27" s="158">
        <v>1</v>
      </c>
      <c r="E27" s="57">
        <v>0</v>
      </c>
      <c r="F27" s="158">
        <v>1</v>
      </c>
      <c r="G27" s="189">
        <v>7475.8</v>
      </c>
      <c r="H27" s="185">
        <v>5906.8034</v>
      </c>
      <c r="I27" s="58">
        <f t="shared" si="1"/>
        <v>0.2098767489766982</v>
      </c>
      <c r="J27" s="78">
        <v>0</v>
      </c>
      <c r="K27" s="189">
        <v>5906.8034</v>
      </c>
      <c r="L27" s="185">
        <v>12398.2037</v>
      </c>
      <c r="M27" s="58">
        <f t="shared" si="2"/>
        <v>0.47642412908573195</v>
      </c>
      <c r="N27" s="59">
        <v>0.5</v>
      </c>
      <c r="O27" s="189">
        <v>5906.8034</v>
      </c>
      <c r="P27" s="185">
        <v>6106.73162</v>
      </c>
      <c r="Q27" s="58">
        <f t="shared" si="3"/>
        <v>0.967261010890798</v>
      </c>
      <c r="R27" s="28">
        <v>1</v>
      </c>
      <c r="S27" s="189">
        <v>5906.8034</v>
      </c>
      <c r="T27" s="185">
        <v>5516.26364</v>
      </c>
      <c r="U27" s="61">
        <f t="shared" si="4"/>
        <v>1.0707978779636427</v>
      </c>
      <c r="V27" s="155">
        <v>1</v>
      </c>
      <c r="W27" s="189">
        <v>450.5948</v>
      </c>
      <c r="X27" s="185">
        <v>746.8561</v>
      </c>
      <c r="Y27" s="61">
        <f t="shared" si="5"/>
        <v>1.6574893895801726</v>
      </c>
      <c r="Z27" s="155">
        <v>0</v>
      </c>
      <c r="AA27" s="189">
        <v>746.8561</v>
      </c>
      <c r="AB27" s="185">
        <v>5577.89131</v>
      </c>
      <c r="AC27" s="61">
        <f t="shared" si="6"/>
        <v>0.13389577861817462</v>
      </c>
      <c r="AD27" s="181">
        <f t="shared" si="7"/>
        <v>0.8661042213818254</v>
      </c>
      <c r="AE27" s="184">
        <v>6491.4003</v>
      </c>
      <c r="AF27" s="185">
        <v>12398.2037</v>
      </c>
      <c r="AG27" s="185">
        <v>300.84</v>
      </c>
      <c r="AH27" s="58">
        <f t="shared" si="8"/>
        <v>0.536596275104137</v>
      </c>
      <c r="AI27" s="60">
        <v>0.5</v>
      </c>
      <c r="AJ27" s="195">
        <v>490</v>
      </c>
      <c r="AK27" s="196">
        <v>495.5</v>
      </c>
      <c r="AL27" s="196">
        <f t="shared" si="9"/>
        <v>-5.5</v>
      </c>
      <c r="AM27" s="147">
        <v>1</v>
      </c>
      <c r="AN27" s="62">
        <v>2357.9</v>
      </c>
      <c r="AO27" s="62">
        <v>3263.5</v>
      </c>
      <c r="AP27" s="63">
        <f t="shared" si="10"/>
        <v>0.7225065114141259</v>
      </c>
      <c r="AQ27" s="64">
        <v>1</v>
      </c>
      <c r="AR27" s="65">
        <f>AT27*100/AT55</f>
        <v>3.332323783725729</v>
      </c>
      <c r="AS27" s="144">
        <v>12752.05</v>
      </c>
      <c r="AT27" s="62">
        <v>12752.1</v>
      </c>
      <c r="AU27" s="62">
        <v>4237.8</v>
      </c>
      <c r="AV27" s="26">
        <f t="shared" si="11"/>
        <v>0.3323230382565941</v>
      </c>
      <c r="AW27" s="203">
        <v>1</v>
      </c>
      <c r="AX27" s="62">
        <v>2342.9</v>
      </c>
      <c r="AY27" s="66">
        <f t="shared" si="12"/>
        <v>99.3638407057127</v>
      </c>
      <c r="AZ27" s="66">
        <f t="shared" si="13"/>
        <v>55.285761480013214</v>
      </c>
      <c r="BA27" s="203">
        <v>0</v>
      </c>
      <c r="BB27" s="203">
        <v>1</v>
      </c>
      <c r="BC27" s="67">
        <v>5177</v>
      </c>
      <c r="BD27" s="31">
        <f t="shared" si="43"/>
        <v>2463.212285107205</v>
      </c>
      <c r="BE27" s="63">
        <f>BD27/BD56*100%</f>
        <v>0.6361192563478275</v>
      </c>
      <c r="BF27" s="203">
        <v>0</v>
      </c>
      <c r="BG27" s="68">
        <f>BD27*100/BD55</f>
        <v>63.61192563478274</v>
      </c>
      <c r="BH27" s="69">
        <f t="shared" si="14"/>
        <v>4.043988718775181</v>
      </c>
      <c r="BI27" s="69">
        <f t="shared" si="15"/>
        <v>0.7477451556998455</v>
      </c>
      <c r="BJ27" s="62">
        <f>95353.21/1000</f>
        <v>95.35321</v>
      </c>
      <c r="BK27" s="66">
        <f t="shared" si="16"/>
        <v>18.418622754491018</v>
      </c>
      <c r="BL27" s="58">
        <f>BK27/BK56*100%</f>
        <v>0.026947190315399234</v>
      </c>
      <c r="BM27" s="205">
        <v>0</v>
      </c>
      <c r="BN27" s="70">
        <v>0</v>
      </c>
      <c r="BO27" s="71">
        <v>0</v>
      </c>
      <c r="BP27" s="58"/>
      <c r="BQ27" s="208"/>
      <c r="BR27" s="209"/>
      <c r="BS27" s="62">
        <f>316944.1/1000</f>
        <v>316.9441</v>
      </c>
      <c r="BT27" s="72">
        <f t="shared" si="18"/>
        <v>0.02485426714031414</v>
      </c>
      <c r="BU27" s="211">
        <f t="shared" si="19"/>
        <v>0.04970853428062828</v>
      </c>
      <c r="BV27" s="169">
        <v>1.9636752110260332</v>
      </c>
      <c r="BW27" s="214">
        <f t="shared" si="20"/>
        <v>0.9803632478897397</v>
      </c>
      <c r="BX27" s="219">
        <f>1+2+1</f>
        <v>4</v>
      </c>
      <c r="BY27" s="214">
        <f t="shared" si="21"/>
        <v>0.6666666666666667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0</v>
      </c>
      <c r="CE27" s="223">
        <f>1-CD27/1</f>
        <v>1</v>
      </c>
      <c r="CF27" s="70"/>
      <c r="CG27" s="221">
        <f t="shared" si="23"/>
        <v>1</v>
      </c>
      <c r="CH27" s="73"/>
      <c r="CI27" s="48"/>
      <c r="CJ27" s="62"/>
      <c r="CK27" s="221">
        <f t="shared" si="24"/>
        <v>1</v>
      </c>
      <c r="CL27" s="240">
        <f t="shared" si="25"/>
        <v>6</v>
      </c>
      <c r="CM27" s="221">
        <f t="shared" si="26"/>
        <v>0.625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f>1+3+3</f>
        <v>7</v>
      </c>
      <c r="CW27" s="239">
        <f t="shared" si="31"/>
        <v>0.36363636363636365</v>
      </c>
      <c r="CX27" s="219">
        <v>1</v>
      </c>
      <c r="CY27" s="214">
        <f t="shared" si="32"/>
        <v>0.875</v>
      </c>
      <c r="CZ27" s="241">
        <f t="shared" si="33"/>
        <v>8</v>
      </c>
      <c r="DA27" s="214">
        <f t="shared" si="34"/>
        <v>0.6363636363636364</v>
      </c>
      <c r="DB27" s="252">
        <v>0</v>
      </c>
      <c r="DC27" s="253">
        <v>1</v>
      </c>
      <c r="DD27" s="224">
        <v>1</v>
      </c>
      <c r="DE27" s="251">
        <f t="shared" si="35"/>
        <v>0.9285714285714286</v>
      </c>
      <c r="DF27" s="70">
        <v>22</v>
      </c>
      <c r="DG27" s="209">
        <f t="shared" si="36"/>
        <v>0.5111111111111111</v>
      </c>
      <c r="DH27" s="62">
        <v>1</v>
      </c>
      <c r="DI27" s="253">
        <v>0</v>
      </c>
      <c r="DJ27" s="224">
        <v>1</v>
      </c>
      <c r="DK27" s="260">
        <v>0.8333333333333334</v>
      </c>
      <c r="DL27" s="220">
        <f t="shared" si="37"/>
        <v>25</v>
      </c>
      <c r="DM27" s="259">
        <f t="shared" si="38"/>
        <v>0.5901639344262295</v>
      </c>
      <c r="DN27" s="175">
        <v>103</v>
      </c>
      <c r="DO27" s="166">
        <f>1-DN27/(1031)*100/100</f>
        <v>0.9000969932104752</v>
      </c>
      <c r="DP27" s="66">
        <v>0</v>
      </c>
      <c r="DQ27" s="28">
        <f t="shared" si="39"/>
        <v>1</v>
      </c>
      <c r="DR27" s="45">
        <v>1</v>
      </c>
      <c r="DS27" s="28">
        <v>1</v>
      </c>
      <c r="DT27" s="75"/>
      <c r="DU27" s="45">
        <v>1</v>
      </c>
      <c r="DV27" s="28">
        <v>1</v>
      </c>
      <c r="DW27" s="46"/>
      <c r="DX27" s="45">
        <v>1</v>
      </c>
      <c r="DY27" s="28">
        <v>1</v>
      </c>
      <c r="DZ27" s="76"/>
      <c r="EA27" s="45">
        <v>1</v>
      </c>
      <c r="EB27" s="69">
        <v>1</v>
      </c>
      <c r="EC27" s="49"/>
      <c r="ED27" s="49">
        <v>1</v>
      </c>
      <c r="EE27" s="69">
        <v>1</v>
      </c>
      <c r="EF27" s="49"/>
      <c r="EG27" s="49">
        <v>1</v>
      </c>
      <c r="EH27" s="172">
        <v>1</v>
      </c>
      <c r="EI27" s="75"/>
      <c r="EJ27" s="49"/>
      <c r="EK27" s="158"/>
      <c r="EL27" s="176"/>
      <c r="EM27" s="174"/>
      <c r="EN27" s="50">
        <f t="shared" si="40"/>
        <v>20.647800567552533</v>
      </c>
      <c r="EO27" s="24">
        <f t="shared" si="41"/>
        <v>18</v>
      </c>
      <c r="EP27" s="51">
        <f t="shared" si="42"/>
        <v>0.6333333333333329</v>
      </c>
      <c r="EQ27" s="77" t="s">
        <v>116</v>
      </c>
    </row>
    <row r="28" spans="1:147" s="54" customFormat="1" ht="18.75">
      <c r="A28" s="55">
        <f t="shared" si="0"/>
        <v>19</v>
      </c>
      <c r="B28" s="56" t="s">
        <v>134</v>
      </c>
      <c r="C28" s="57">
        <v>0</v>
      </c>
      <c r="D28" s="158">
        <v>1</v>
      </c>
      <c r="E28" s="57">
        <v>0</v>
      </c>
      <c r="F28" s="158">
        <v>1</v>
      </c>
      <c r="G28" s="189">
        <v>3046.5816</v>
      </c>
      <c r="H28" s="185">
        <v>4064.37919</v>
      </c>
      <c r="I28" s="58">
        <f t="shared" si="1"/>
        <v>-0.3340785587361258</v>
      </c>
      <c r="J28" s="151">
        <v>0</v>
      </c>
      <c r="K28" s="189">
        <v>4064.37919</v>
      </c>
      <c r="L28" s="185">
        <v>10966.16345</v>
      </c>
      <c r="M28" s="58">
        <f t="shared" si="2"/>
        <v>0.37062909088775253</v>
      </c>
      <c r="N28" s="59">
        <v>0.5</v>
      </c>
      <c r="O28" s="189">
        <v>4064.37919</v>
      </c>
      <c r="P28" s="185">
        <v>4064.37919</v>
      </c>
      <c r="Q28" s="58">
        <f t="shared" si="3"/>
        <v>1</v>
      </c>
      <c r="R28" s="28">
        <v>1</v>
      </c>
      <c r="S28" s="189">
        <v>4064.37919</v>
      </c>
      <c r="T28" s="185">
        <v>2382.42671</v>
      </c>
      <c r="U28" s="61">
        <f t="shared" si="4"/>
        <v>1.7059828841492461</v>
      </c>
      <c r="V28" s="155">
        <v>1</v>
      </c>
      <c r="W28" s="189">
        <v>369.5156</v>
      </c>
      <c r="X28" s="185">
        <v>723.019</v>
      </c>
      <c r="Y28" s="61">
        <f t="shared" si="5"/>
        <v>1.9566670527577186</v>
      </c>
      <c r="Z28" s="155">
        <v>0</v>
      </c>
      <c r="AA28" s="189">
        <v>723.019</v>
      </c>
      <c r="AB28" s="185">
        <v>3564.12725</v>
      </c>
      <c r="AC28" s="61">
        <f t="shared" si="6"/>
        <v>0.20286004098198235</v>
      </c>
      <c r="AD28" s="181">
        <f t="shared" si="7"/>
        <v>0.7971399590180177</v>
      </c>
      <c r="AE28" s="184">
        <v>6901.78426</v>
      </c>
      <c r="AF28" s="185">
        <v>10966.16345</v>
      </c>
      <c r="AG28" s="185">
        <v>172.96</v>
      </c>
      <c r="AH28" s="58">
        <f t="shared" si="8"/>
        <v>0.6394565146457978</v>
      </c>
      <c r="AI28" s="60">
        <v>0.5</v>
      </c>
      <c r="AJ28" s="195">
        <v>-119.9</v>
      </c>
      <c r="AK28" s="196">
        <v>129.1</v>
      </c>
      <c r="AL28" s="196">
        <f t="shared" si="9"/>
        <v>-249</v>
      </c>
      <c r="AM28" s="147">
        <v>1</v>
      </c>
      <c r="AN28" s="62">
        <v>2417.2</v>
      </c>
      <c r="AO28" s="62">
        <v>2763</v>
      </c>
      <c r="AP28" s="63">
        <f t="shared" si="10"/>
        <v>0.8748461816865725</v>
      </c>
      <c r="AQ28" s="64">
        <v>1</v>
      </c>
      <c r="AR28" s="65">
        <f>AT28*100/AT42</f>
        <v>2.769841765511503</v>
      </c>
      <c r="AS28" s="144">
        <v>10599.56</v>
      </c>
      <c r="AT28" s="62">
        <v>10599.6</v>
      </c>
      <c r="AU28" s="62">
        <v>5685.3</v>
      </c>
      <c r="AV28" s="26">
        <f t="shared" si="11"/>
        <v>0.536371321073705</v>
      </c>
      <c r="AW28" s="203">
        <v>0.8</v>
      </c>
      <c r="AX28" s="62">
        <v>2364.79</v>
      </c>
      <c r="AY28" s="66">
        <f t="shared" si="12"/>
        <v>97.83178884659938</v>
      </c>
      <c r="AZ28" s="66">
        <f t="shared" si="13"/>
        <v>41.59481469755334</v>
      </c>
      <c r="BA28" s="203">
        <v>0</v>
      </c>
      <c r="BB28" s="203">
        <v>1</v>
      </c>
      <c r="BC28" s="67">
        <v>2935</v>
      </c>
      <c r="BD28" s="31">
        <f t="shared" si="43"/>
        <v>3611.434412265758</v>
      </c>
      <c r="BE28" s="63">
        <f>BD28/BD41*100%</f>
        <v>0.9326451425113217</v>
      </c>
      <c r="BF28" s="203">
        <v>0.9</v>
      </c>
      <c r="BG28" s="68">
        <f>BD28*100/BD42</f>
        <v>93.26451425113217</v>
      </c>
      <c r="BH28" s="69">
        <f t="shared" si="14"/>
        <v>165.9804091510839</v>
      </c>
      <c r="BI28" s="69">
        <f t="shared" si="15"/>
        <v>37.85122504622816</v>
      </c>
      <c r="BJ28" s="62">
        <f>4012078.45/1000</f>
        <v>4012.07845</v>
      </c>
      <c r="BK28" s="66">
        <f t="shared" si="16"/>
        <v>1366.977325383305</v>
      </c>
      <c r="BL28" s="58">
        <f>BK28/BK41*100%</f>
        <v>1.9999431355396842</v>
      </c>
      <c r="BM28" s="205">
        <v>1</v>
      </c>
      <c r="BN28" s="70">
        <v>1675</v>
      </c>
      <c r="BO28" s="71">
        <v>146.59</v>
      </c>
      <c r="BP28" s="58">
        <f>BO28/(BN28+BO28)</f>
        <v>0.08047365213906532</v>
      </c>
      <c r="BQ28" s="208">
        <v>1</v>
      </c>
      <c r="BR28" s="209">
        <v>1</v>
      </c>
      <c r="BS28" s="62">
        <v>0</v>
      </c>
      <c r="BT28" s="72">
        <f t="shared" si="18"/>
        <v>0</v>
      </c>
      <c r="BU28" s="211">
        <f t="shared" si="19"/>
        <v>0</v>
      </c>
      <c r="BV28" s="169">
        <v>0</v>
      </c>
      <c r="BW28" s="214">
        <f t="shared" si="20"/>
        <v>1</v>
      </c>
      <c r="BX28" s="219">
        <f>3+2+1</f>
        <v>6</v>
      </c>
      <c r="BY28" s="214">
        <f t="shared" si="21"/>
        <v>0.5</v>
      </c>
      <c r="BZ28" s="224">
        <v>0</v>
      </c>
      <c r="CA28" s="33">
        <v>1</v>
      </c>
      <c r="CB28" s="224">
        <v>2</v>
      </c>
      <c r="CC28" s="221">
        <f t="shared" si="22"/>
        <v>0.5</v>
      </c>
      <c r="CD28" s="225">
        <v>2</v>
      </c>
      <c r="CE28" s="223">
        <v>0</v>
      </c>
      <c r="CF28" s="70">
        <v>1</v>
      </c>
      <c r="CG28" s="221">
        <f t="shared" si="23"/>
        <v>0</v>
      </c>
      <c r="CH28" s="73"/>
      <c r="CI28" s="48"/>
      <c r="CJ28" s="31">
        <v>1</v>
      </c>
      <c r="CK28" s="221">
        <f t="shared" si="24"/>
        <v>0.8333333333333334</v>
      </c>
      <c r="CL28" s="240">
        <f t="shared" si="25"/>
        <v>12</v>
      </c>
      <c r="CM28" s="221">
        <f t="shared" si="26"/>
        <v>0.25</v>
      </c>
      <c r="CN28" s="74"/>
      <c r="CO28" s="48">
        <f t="shared" si="27"/>
        <v>1</v>
      </c>
      <c r="CP28" s="66"/>
      <c r="CQ28" s="66">
        <f t="shared" si="28"/>
        <v>1</v>
      </c>
      <c r="CR28" s="224">
        <v>0</v>
      </c>
      <c r="CS28" s="209">
        <f t="shared" si="29"/>
        <v>1</v>
      </c>
      <c r="CT28" s="224">
        <v>0</v>
      </c>
      <c r="CU28" s="33">
        <f t="shared" si="30"/>
        <v>1</v>
      </c>
      <c r="CV28" s="219">
        <f>1+1+1+2</f>
        <v>5</v>
      </c>
      <c r="CW28" s="239">
        <f t="shared" si="31"/>
        <v>0.5454545454545454</v>
      </c>
      <c r="CX28" s="219">
        <v>1</v>
      </c>
      <c r="CY28" s="214">
        <f t="shared" si="32"/>
        <v>0.875</v>
      </c>
      <c r="CZ28" s="241">
        <f t="shared" si="33"/>
        <v>6</v>
      </c>
      <c r="DA28" s="214">
        <f t="shared" si="34"/>
        <v>0.7272727272727273</v>
      </c>
      <c r="DB28" s="252">
        <v>0</v>
      </c>
      <c r="DC28" s="253">
        <v>1</v>
      </c>
      <c r="DD28" s="224">
        <v>3</v>
      </c>
      <c r="DE28" s="251">
        <f t="shared" si="35"/>
        <v>0.7857142857142857</v>
      </c>
      <c r="DF28" s="70">
        <v>0</v>
      </c>
      <c r="DG28" s="209">
        <f t="shared" si="36"/>
        <v>1</v>
      </c>
      <c r="DH28" s="62">
        <v>0</v>
      </c>
      <c r="DI28" s="253">
        <v>1</v>
      </c>
      <c r="DJ28" s="224">
        <v>0</v>
      </c>
      <c r="DK28" s="260">
        <v>1</v>
      </c>
      <c r="DL28" s="220">
        <f t="shared" si="37"/>
        <v>3</v>
      </c>
      <c r="DM28" s="259">
        <f t="shared" si="38"/>
        <v>0.9508196721311475</v>
      </c>
      <c r="DN28" s="175">
        <v>319</v>
      </c>
      <c r="DO28" s="166">
        <f>1-DN28/(1066)*100/100</f>
        <v>0.700750469043152</v>
      </c>
      <c r="DP28" s="66">
        <v>2</v>
      </c>
      <c r="DQ28" s="28">
        <f t="shared" si="39"/>
        <v>0.5</v>
      </c>
      <c r="DR28" s="45">
        <v>1</v>
      </c>
      <c r="DS28" s="28">
        <v>1</v>
      </c>
      <c r="DT28" s="75"/>
      <c r="DU28" s="45">
        <v>0</v>
      </c>
      <c r="DV28" s="28">
        <v>0</v>
      </c>
      <c r="DW28" s="46"/>
      <c r="DX28" s="45">
        <v>0</v>
      </c>
      <c r="DY28" s="28">
        <v>0</v>
      </c>
      <c r="DZ28" s="76"/>
      <c r="EA28" s="45">
        <v>1</v>
      </c>
      <c r="EB28" s="69">
        <v>1</v>
      </c>
      <c r="EC28" s="49"/>
      <c r="ED28" s="49">
        <v>1</v>
      </c>
      <c r="EE28" s="69">
        <v>1</v>
      </c>
      <c r="EF28" s="49"/>
      <c r="EG28" s="49">
        <v>1</v>
      </c>
      <c r="EH28" s="172">
        <v>1</v>
      </c>
      <c r="EI28" s="75"/>
      <c r="EJ28" s="49"/>
      <c r="EK28" s="158"/>
      <c r="EL28" s="176"/>
      <c r="EM28" s="174"/>
      <c r="EN28" s="50">
        <f t="shared" si="40"/>
        <v>20.625982827465045</v>
      </c>
      <c r="EO28" s="24">
        <f t="shared" si="41"/>
        <v>19</v>
      </c>
      <c r="EP28" s="51">
        <f t="shared" si="42"/>
        <v>0.6333333333333329</v>
      </c>
      <c r="EQ28" s="77" t="s">
        <v>119</v>
      </c>
    </row>
    <row r="29" spans="1:147" s="54" customFormat="1" ht="18.75">
      <c r="A29" s="55">
        <f t="shared" si="0"/>
        <v>20</v>
      </c>
      <c r="B29" s="56" t="s">
        <v>133</v>
      </c>
      <c r="C29" s="57">
        <v>0</v>
      </c>
      <c r="D29" s="158">
        <v>1</v>
      </c>
      <c r="E29" s="57">
        <v>0</v>
      </c>
      <c r="F29" s="158">
        <v>1</v>
      </c>
      <c r="G29" s="189">
        <v>4543.4</v>
      </c>
      <c r="H29" s="185">
        <v>4921.76718</v>
      </c>
      <c r="I29" s="58">
        <f t="shared" si="1"/>
        <v>-0.08327842144649386</v>
      </c>
      <c r="J29" s="151">
        <v>0.6</v>
      </c>
      <c r="K29" s="189">
        <v>4921.76718</v>
      </c>
      <c r="L29" s="185">
        <v>7847.75328</v>
      </c>
      <c r="M29" s="58">
        <f t="shared" si="2"/>
        <v>0.627156206929074</v>
      </c>
      <c r="N29" s="59">
        <v>0.8</v>
      </c>
      <c r="O29" s="189">
        <v>4921.76718</v>
      </c>
      <c r="P29" s="185">
        <v>4225.543</v>
      </c>
      <c r="Q29" s="58">
        <f t="shared" si="3"/>
        <v>1.164765612372185</v>
      </c>
      <c r="R29" s="28">
        <v>1</v>
      </c>
      <c r="S29" s="189">
        <v>4921.76718</v>
      </c>
      <c r="T29" s="185">
        <v>4951.01553</v>
      </c>
      <c r="U29" s="61">
        <f t="shared" si="4"/>
        <v>0.994092454401976</v>
      </c>
      <c r="V29" s="155">
        <v>0</v>
      </c>
      <c r="W29" s="189">
        <v>529.0768</v>
      </c>
      <c r="X29" s="185">
        <v>890.9126</v>
      </c>
      <c r="Y29" s="61">
        <f t="shared" si="5"/>
        <v>1.6839003335621594</v>
      </c>
      <c r="Z29" s="155">
        <v>0</v>
      </c>
      <c r="AA29" s="189">
        <v>890.9126</v>
      </c>
      <c r="AB29" s="185">
        <v>4088.35474</v>
      </c>
      <c r="AC29" s="61">
        <f t="shared" si="6"/>
        <v>0.2179147008167887</v>
      </c>
      <c r="AD29" s="181">
        <f t="shared" si="7"/>
        <v>0.7820852991832112</v>
      </c>
      <c r="AE29" s="184">
        <v>2925.9861</v>
      </c>
      <c r="AF29" s="185">
        <v>7847.75328</v>
      </c>
      <c r="AG29" s="185">
        <v>124.2</v>
      </c>
      <c r="AH29" s="58">
        <f t="shared" si="8"/>
        <v>0.37883937533994716</v>
      </c>
      <c r="AI29" s="60">
        <v>0.8</v>
      </c>
      <c r="AJ29" s="195">
        <v>4000.9</v>
      </c>
      <c r="AK29" s="196">
        <v>1594</v>
      </c>
      <c r="AL29" s="196">
        <f t="shared" si="9"/>
        <v>2406.9</v>
      </c>
      <c r="AM29" s="147">
        <v>0</v>
      </c>
      <c r="AN29" s="62">
        <v>2131.7</v>
      </c>
      <c r="AO29" s="62">
        <v>2426.5</v>
      </c>
      <c r="AP29" s="63">
        <f t="shared" si="10"/>
        <v>0.8785081392952812</v>
      </c>
      <c r="AQ29" s="64">
        <v>1</v>
      </c>
      <c r="AR29" s="65">
        <f>AT29*100/AT58</f>
        <v>2.7025007127385385</v>
      </c>
      <c r="AS29" s="144">
        <v>10341.87</v>
      </c>
      <c r="AT29" s="62">
        <v>10341.9</v>
      </c>
      <c r="AU29" s="62">
        <v>3387.2</v>
      </c>
      <c r="AV29" s="26">
        <f t="shared" si="11"/>
        <v>0.3275229721510713</v>
      </c>
      <c r="AW29" s="203">
        <v>1</v>
      </c>
      <c r="AX29" s="62">
        <v>1923.64</v>
      </c>
      <c r="AY29" s="66">
        <f t="shared" si="12"/>
        <v>90.23971478162969</v>
      </c>
      <c r="AZ29" s="66">
        <f t="shared" si="13"/>
        <v>56.7914501653283</v>
      </c>
      <c r="BA29" s="203">
        <v>0</v>
      </c>
      <c r="BB29" s="203">
        <v>1</v>
      </c>
      <c r="BC29" s="67">
        <v>2268</v>
      </c>
      <c r="BD29" s="31">
        <f t="shared" si="43"/>
        <v>4559.907407407408</v>
      </c>
      <c r="BE29" s="63">
        <f>BD29/BD59*100%</f>
        <v>1.1775862464443283</v>
      </c>
      <c r="BF29" s="203">
        <v>1</v>
      </c>
      <c r="BG29" s="68">
        <f>BD29*100/BD58</f>
        <v>117.75862464443284</v>
      </c>
      <c r="BH29" s="69">
        <f t="shared" si="14"/>
        <v>58.1160350893653</v>
      </c>
      <c r="BI29" s="69">
        <f t="shared" si="15"/>
        <v>11.979032092748914</v>
      </c>
      <c r="BJ29" s="62">
        <f>1238859.52/1000</f>
        <v>1238.85952</v>
      </c>
      <c r="BK29" s="66">
        <f t="shared" si="16"/>
        <v>546.234356261023</v>
      </c>
      <c r="BL29" s="58">
        <f>BK29/BK59*100%</f>
        <v>0.7991629640922157</v>
      </c>
      <c r="BM29" s="205">
        <v>0</v>
      </c>
      <c r="BN29" s="70">
        <v>0</v>
      </c>
      <c r="BO29" s="71">
        <v>0</v>
      </c>
      <c r="BP29" s="58"/>
      <c r="BQ29" s="208"/>
      <c r="BR29" s="209"/>
      <c r="BS29" s="62">
        <f>633389.49/1000</f>
        <v>633.38949</v>
      </c>
      <c r="BT29" s="72">
        <f t="shared" si="18"/>
        <v>0.06124498303019755</v>
      </c>
      <c r="BU29" s="211">
        <f t="shared" si="19"/>
        <v>0.1224899660603951</v>
      </c>
      <c r="BV29" s="169">
        <v>0.9742866761891249</v>
      </c>
      <c r="BW29" s="214">
        <f t="shared" si="20"/>
        <v>0.9902571332381087</v>
      </c>
      <c r="BX29" s="219">
        <f>1+1+1</f>
        <v>3</v>
      </c>
      <c r="BY29" s="214">
        <f t="shared" si="21"/>
        <v>0.75</v>
      </c>
      <c r="BZ29" s="224">
        <v>0</v>
      </c>
      <c r="CA29" s="33">
        <v>1</v>
      </c>
      <c r="CB29" s="224">
        <v>1</v>
      </c>
      <c r="CC29" s="221">
        <f t="shared" si="22"/>
        <v>0.75</v>
      </c>
      <c r="CD29" s="225">
        <v>1</v>
      </c>
      <c r="CE29" s="223">
        <v>0.5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5</v>
      </c>
      <c r="CM29" s="221">
        <f t="shared" si="26"/>
        <v>0.6875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1</v>
      </c>
      <c r="CU29" s="33">
        <f t="shared" si="30"/>
        <v>0</v>
      </c>
      <c r="CV29" s="219">
        <f>3+2+2</f>
        <v>7</v>
      </c>
      <c r="CW29" s="239">
        <f t="shared" si="31"/>
        <v>0.36363636363636365</v>
      </c>
      <c r="CX29" s="219">
        <v>0</v>
      </c>
      <c r="CY29" s="214">
        <f t="shared" si="32"/>
        <v>1</v>
      </c>
      <c r="CZ29" s="241">
        <f t="shared" si="33"/>
        <v>8</v>
      </c>
      <c r="DA29" s="214">
        <f t="shared" si="34"/>
        <v>0.6363636363636364</v>
      </c>
      <c r="DB29" s="252">
        <v>1</v>
      </c>
      <c r="DC29" s="253">
        <v>0.5</v>
      </c>
      <c r="DD29" s="224">
        <v>7</v>
      </c>
      <c r="DE29" s="251">
        <f t="shared" si="35"/>
        <v>0.5</v>
      </c>
      <c r="DF29" s="70">
        <v>2</v>
      </c>
      <c r="DG29" s="209">
        <f t="shared" si="36"/>
        <v>0.9555555555555556</v>
      </c>
      <c r="DH29" s="62">
        <v>1</v>
      </c>
      <c r="DI29" s="253">
        <v>0</v>
      </c>
      <c r="DJ29" s="224">
        <v>4</v>
      </c>
      <c r="DK29" s="260">
        <v>0.3</v>
      </c>
      <c r="DL29" s="220">
        <f t="shared" si="37"/>
        <v>15</v>
      </c>
      <c r="DM29" s="259">
        <f t="shared" si="38"/>
        <v>0.7540983606557377</v>
      </c>
      <c r="DN29" s="175">
        <v>189</v>
      </c>
      <c r="DO29" s="166">
        <f>1-DN29/(949)*100/100</f>
        <v>0.8008429926238145</v>
      </c>
      <c r="DP29" s="66">
        <v>1</v>
      </c>
      <c r="DQ29" s="28">
        <f t="shared" si="39"/>
        <v>0.75</v>
      </c>
      <c r="DR29" s="45">
        <v>1</v>
      </c>
      <c r="DS29" s="28">
        <v>1</v>
      </c>
      <c r="DT29" s="75"/>
      <c r="DU29" s="45">
        <v>1</v>
      </c>
      <c r="DV29" s="28">
        <v>1</v>
      </c>
      <c r="DW29" s="46"/>
      <c r="DX29" s="45">
        <v>1</v>
      </c>
      <c r="DY29" s="28">
        <v>1</v>
      </c>
      <c r="DZ29" s="76"/>
      <c r="EA29" s="45">
        <v>1</v>
      </c>
      <c r="EB29" s="69">
        <v>1</v>
      </c>
      <c r="EC29" s="49"/>
      <c r="ED29" s="49">
        <v>1</v>
      </c>
      <c r="EE29" s="69">
        <v>1</v>
      </c>
      <c r="EF29" s="49"/>
      <c r="EG29" s="49">
        <v>0</v>
      </c>
      <c r="EH29" s="172">
        <v>0</v>
      </c>
      <c r="EI29" s="75"/>
      <c r="EJ29" s="49"/>
      <c r="EK29" s="158"/>
      <c r="EL29" s="176"/>
      <c r="EM29" s="174"/>
      <c r="EN29" s="50">
        <f t="shared" si="40"/>
        <v>19.723637388124903</v>
      </c>
      <c r="EO29" s="24">
        <f t="shared" si="41"/>
        <v>20</v>
      </c>
      <c r="EP29" s="51">
        <f t="shared" si="42"/>
        <v>0.6333333333333329</v>
      </c>
      <c r="EQ29" s="77" t="s">
        <v>119</v>
      </c>
    </row>
    <row r="30" spans="1:148" s="54" customFormat="1" ht="18.75">
      <c r="A30" s="55">
        <f t="shared" si="0"/>
        <v>21</v>
      </c>
      <c r="B30" s="56" t="s">
        <v>125</v>
      </c>
      <c r="C30" s="57">
        <v>0</v>
      </c>
      <c r="D30" s="158">
        <v>1</v>
      </c>
      <c r="E30" s="57">
        <v>0</v>
      </c>
      <c r="F30" s="158">
        <v>1</v>
      </c>
      <c r="G30" s="189">
        <v>6324.1</v>
      </c>
      <c r="H30" s="185">
        <v>2210.23561</v>
      </c>
      <c r="I30" s="58">
        <f t="shared" si="1"/>
        <v>0.6505059043974637</v>
      </c>
      <c r="J30" s="78">
        <v>0</v>
      </c>
      <c r="K30" s="189">
        <v>2210.23561</v>
      </c>
      <c r="L30" s="185">
        <v>9698.91023</v>
      </c>
      <c r="M30" s="58">
        <f t="shared" si="2"/>
        <v>0.22788494352318595</v>
      </c>
      <c r="N30" s="59">
        <v>0.3</v>
      </c>
      <c r="O30" s="189">
        <v>2210.23561</v>
      </c>
      <c r="P30" s="185">
        <v>5264.16345</v>
      </c>
      <c r="Q30" s="58">
        <f t="shared" si="3"/>
        <v>0.41986454846876003</v>
      </c>
      <c r="R30" s="28">
        <f>Q30/95%</f>
        <v>0.4419626825986948</v>
      </c>
      <c r="S30" s="189">
        <v>2210.23561</v>
      </c>
      <c r="T30" s="185">
        <v>1781.52361</v>
      </c>
      <c r="U30" s="61">
        <f t="shared" si="4"/>
        <v>1.2406434568666762</v>
      </c>
      <c r="V30" s="155">
        <v>1</v>
      </c>
      <c r="W30" s="189">
        <v>509.0997</v>
      </c>
      <c r="X30" s="185">
        <v>720.7379</v>
      </c>
      <c r="Y30" s="61">
        <f t="shared" si="5"/>
        <v>1.4157107144239134</v>
      </c>
      <c r="Z30" s="155">
        <v>0</v>
      </c>
      <c r="AA30" s="189">
        <v>720.7379</v>
      </c>
      <c r="AB30" s="185">
        <v>2019.2273</v>
      </c>
      <c r="AC30" s="61">
        <f t="shared" si="6"/>
        <v>0.356937478014486</v>
      </c>
      <c r="AD30" s="181">
        <f t="shared" si="7"/>
        <v>0.643062521985514</v>
      </c>
      <c r="AE30" s="184">
        <v>7488.67462</v>
      </c>
      <c r="AF30" s="185">
        <v>9698.91023</v>
      </c>
      <c r="AG30" s="185">
        <v>173.19</v>
      </c>
      <c r="AH30" s="58">
        <f t="shared" si="8"/>
        <v>0.7861531137997742</v>
      </c>
      <c r="AI30" s="60">
        <v>0.3</v>
      </c>
      <c r="AJ30" s="195">
        <v>335.9</v>
      </c>
      <c r="AK30" s="196">
        <v>209</v>
      </c>
      <c r="AL30" s="196">
        <f t="shared" si="9"/>
        <v>126.89999999999998</v>
      </c>
      <c r="AM30" s="147">
        <v>0</v>
      </c>
      <c r="AN30" s="62">
        <v>2380.6</v>
      </c>
      <c r="AO30" s="62">
        <v>2942.3</v>
      </c>
      <c r="AP30" s="63">
        <f t="shared" si="10"/>
        <v>0.8090949257383678</v>
      </c>
      <c r="AQ30" s="64">
        <v>1</v>
      </c>
      <c r="AR30" s="65">
        <f>AT30*100/AT46</f>
        <v>2.6142544049332224</v>
      </c>
      <c r="AS30" s="144">
        <v>10004.19</v>
      </c>
      <c r="AT30" s="62">
        <v>10004.2</v>
      </c>
      <c r="AU30" s="62">
        <v>5229.7</v>
      </c>
      <c r="AV30" s="26">
        <f t="shared" si="11"/>
        <v>0.5227509673446825</v>
      </c>
      <c r="AW30" s="203">
        <v>0.8</v>
      </c>
      <c r="AX30" s="62">
        <v>2224.99</v>
      </c>
      <c r="AY30" s="66">
        <f t="shared" si="12"/>
        <v>93.46341258506258</v>
      </c>
      <c r="AZ30" s="66">
        <f t="shared" si="13"/>
        <v>42.545270283190234</v>
      </c>
      <c r="BA30" s="203">
        <v>0</v>
      </c>
      <c r="BB30" s="203">
        <v>1</v>
      </c>
      <c r="BC30" s="67">
        <v>3312</v>
      </c>
      <c r="BD30" s="31">
        <f t="shared" si="43"/>
        <v>3020.588768115942</v>
      </c>
      <c r="BE30" s="63">
        <f>BD30/BD38*100%</f>
        <v>0.7800605301150026</v>
      </c>
      <c r="BF30" s="203">
        <v>0.7</v>
      </c>
      <c r="BG30" s="68">
        <f>BD30*100/BD46</f>
        <v>78.00605301150026</v>
      </c>
      <c r="BH30" s="69">
        <f t="shared" si="14"/>
        <v>149.1689187599765</v>
      </c>
      <c r="BI30" s="69">
        <f t="shared" si="15"/>
        <v>35.496244377361506</v>
      </c>
      <c r="BJ30" s="62">
        <f>3551115.28/1000</f>
        <v>3551.11528</v>
      </c>
      <c r="BK30" s="66">
        <f t="shared" si="16"/>
        <v>1072.1966425120772</v>
      </c>
      <c r="BL30" s="58">
        <f>BK30/BK38*100%</f>
        <v>1.568667069542977</v>
      </c>
      <c r="BM30" s="205">
        <v>1</v>
      </c>
      <c r="BN30" s="70">
        <v>1251.7</v>
      </c>
      <c r="BO30" s="71">
        <v>88.77</v>
      </c>
      <c r="BP30" s="58">
        <f>BO30/(BN30+BO30)</f>
        <v>0.06622304117212618</v>
      </c>
      <c r="BQ30" s="208">
        <v>1</v>
      </c>
      <c r="BR30" s="209">
        <v>1</v>
      </c>
      <c r="BS30" s="62">
        <f>322472/1000</f>
        <v>322.472</v>
      </c>
      <c r="BT30" s="72">
        <f t="shared" si="18"/>
        <v>0.03223366186201795</v>
      </c>
      <c r="BU30" s="211">
        <f t="shared" si="19"/>
        <v>0.0644673237240359</v>
      </c>
      <c r="BV30" s="169">
        <v>0</v>
      </c>
      <c r="BW30" s="214">
        <f t="shared" si="20"/>
        <v>1</v>
      </c>
      <c r="BX30" s="219">
        <f>2+1+1</f>
        <v>4</v>
      </c>
      <c r="BY30" s="214">
        <f t="shared" si="21"/>
        <v>0.6666666666666667</v>
      </c>
      <c r="BZ30" s="224">
        <v>0</v>
      </c>
      <c r="CA30" s="33">
        <v>1</v>
      </c>
      <c r="CB30" s="224">
        <v>0</v>
      </c>
      <c r="CC30" s="221">
        <f t="shared" si="22"/>
        <v>1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5</v>
      </c>
      <c r="CM30" s="221">
        <f t="shared" si="26"/>
        <v>0.6875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1</v>
      </c>
      <c r="CU30" s="33">
        <f t="shared" si="30"/>
        <v>0</v>
      </c>
      <c r="CV30" s="219">
        <f>2+3+1+1</f>
        <v>7</v>
      </c>
      <c r="CW30" s="239">
        <f t="shared" si="31"/>
        <v>0.36363636363636365</v>
      </c>
      <c r="CX30" s="219">
        <v>0</v>
      </c>
      <c r="CY30" s="214">
        <f t="shared" si="32"/>
        <v>1</v>
      </c>
      <c r="CZ30" s="241">
        <f t="shared" si="33"/>
        <v>8</v>
      </c>
      <c r="DA30" s="214">
        <f t="shared" si="34"/>
        <v>0.6363636363636364</v>
      </c>
      <c r="DB30" s="252">
        <v>1</v>
      </c>
      <c r="DC30" s="253">
        <v>0.5</v>
      </c>
      <c r="DD30" s="224">
        <v>7</v>
      </c>
      <c r="DE30" s="251">
        <f t="shared" si="35"/>
        <v>0.5</v>
      </c>
      <c r="DF30" s="70">
        <v>12</v>
      </c>
      <c r="DG30" s="209">
        <f t="shared" si="36"/>
        <v>0.7333333333333334</v>
      </c>
      <c r="DH30" s="62">
        <v>1</v>
      </c>
      <c r="DI30" s="253">
        <v>0</v>
      </c>
      <c r="DJ30" s="224">
        <v>1</v>
      </c>
      <c r="DK30" s="260">
        <v>0.8</v>
      </c>
      <c r="DL30" s="220">
        <f t="shared" si="37"/>
        <v>22</v>
      </c>
      <c r="DM30" s="259">
        <f t="shared" si="38"/>
        <v>0.639344262295082</v>
      </c>
      <c r="DN30" s="175">
        <v>401</v>
      </c>
      <c r="DO30" s="166">
        <f>1-DN30/(1285)*100/100</f>
        <v>0.6879377431906615</v>
      </c>
      <c r="DP30" s="66">
        <v>1</v>
      </c>
      <c r="DQ30" s="28">
        <f t="shared" si="39"/>
        <v>0.75</v>
      </c>
      <c r="DR30" s="45">
        <v>1</v>
      </c>
      <c r="DS30" s="28">
        <v>1</v>
      </c>
      <c r="DT30" s="75"/>
      <c r="DU30" s="45">
        <v>1</v>
      </c>
      <c r="DV30" s="28">
        <v>1</v>
      </c>
      <c r="DW30" s="46"/>
      <c r="DX30" s="45">
        <v>1</v>
      </c>
      <c r="DY30" s="28">
        <v>1</v>
      </c>
      <c r="DZ30" s="76"/>
      <c r="EA30" s="45">
        <v>1</v>
      </c>
      <c r="EB30" s="69">
        <v>1</v>
      </c>
      <c r="EC30" s="49"/>
      <c r="ED30" s="49">
        <v>1</v>
      </c>
      <c r="EE30" s="69">
        <v>1</v>
      </c>
      <c r="EF30" s="49"/>
      <c r="EG30" s="49">
        <v>0</v>
      </c>
      <c r="EH30" s="172">
        <v>0</v>
      </c>
      <c r="EI30" s="75"/>
      <c r="EJ30" s="49"/>
      <c r="EK30" s="158"/>
      <c r="EL30" s="176"/>
      <c r="EM30" s="174"/>
      <c r="EN30" s="50">
        <f t="shared" si="40"/>
        <v>19.65063817015762</v>
      </c>
      <c r="EO30" s="24">
        <f t="shared" si="41"/>
        <v>21</v>
      </c>
      <c r="EP30" s="51">
        <f t="shared" si="42"/>
        <v>0.6333333333333329</v>
      </c>
      <c r="EQ30" s="79" t="s">
        <v>117</v>
      </c>
      <c r="ER30" s="80"/>
    </row>
    <row r="31" spans="1:147" s="54" customFormat="1" ht="18.75">
      <c r="A31" s="55">
        <f t="shared" si="0"/>
        <v>22</v>
      </c>
      <c r="B31" s="268" t="s">
        <v>115</v>
      </c>
      <c r="C31" s="57">
        <v>0</v>
      </c>
      <c r="D31" s="158">
        <v>1</v>
      </c>
      <c r="E31" s="57">
        <v>0</v>
      </c>
      <c r="F31" s="158">
        <v>1</v>
      </c>
      <c r="G31" s="189">
        <v>4441.3</v>
      </c>
      <c r="H31" s="185">
        <v>2634.24895</v>
      </c>
      <c r="I31" s="58">
        <f t="shared" si="1"/>
        <v>0.40687434985252063</v>
      </c>
      <c r="J31" s="151">
        <v>0</v>
      </c>
      <c r="K31" s="189">
        <v>2634.24895</v>
      </c>
      <c r="L31" s="185">
        <v>9363.79463</v>
      </c>
      <c r="M31" s="58">
        <f t="shared" si="2"/>
        <v>0.2813228027834267</v>
      </c>
      <c r="N31" s="59">
        <v>0.3</v>
      </c>
      <c r="O31" s="189">
        <v>2634.24895</v>
      </c>
      <c r="P31" s="185">
        <v>2634.24895</v>
      </c>
      <c r="Q31" s="58">
        <f t="shared" si="3"/>
        <v>1</v>
      </c>
      <c r="R31" s="28">
        <v>1</v>
      </c>
      <c r="S31" s="189">
        <v>2634.24895</v>
      </c>
      <c r="T31" s="185">
        <v>1904.09823</v>
      </c>
      <c r="U31" s="61">
        <f t="shared" si="4"/>
        <v>1.383462737634077</v>
      </c>
      <c r="V31" s="155">
        <v>1</v>
      </c>
      <c r="W31" s="189">
        <v>876.088</v>
      </c>
      <c r="X31" s="185">
        <v>1183.3999</v>
      </c>
      <c r="Y31" s="61">
        <f t="shared" si="5"/>
        <v>1.350777433317201</v>
      </c>
      <c r="Z31" s="155">
        <v>0</v>
      </c>
      <c r="AA31" s="189">
        <v>1183.3999</v>
      </c>
      <c r="AB31" s="185">
        <v>2437.96573</v>
      </c>
      <c r="AC31" s="61">
        <f t="shared" si="6"/>
        <v>0.48540464922778054</v>
      </c>
      <c r="AD31" s="181">
        <f t="shared" si="7"/>
        <v>0.5145953507722194</v>
      </c>
      <c r="AE31" s="184">
        <v>6729.54568</v>
      </c>
      <c r="AF31" s="185">
        <v>9363.79463</v>
      </c>
      <c r="AG31" s="185">
        <v>135.7</v>
      </c>
      <c r="AH31" s="58">
        <f t="shared" si="8"/>
        <v>0.7292454130371223</v>
      </c>
      <c r="AI31" s="60">
        <v>0.3</v>
      </c>
      <c r="AJ31" s="195">
        <v>148.5</v>
      </c>
      <c r="AK31" s="196">
        <v>196.9</v>
      </c>
      <c r="AL31" s="196">
        <f t="shared" si="9"/>
        <v>-48.400000000000006</v>
      </c>
      <c r="AM31" s="147">
        <v>1</v>
      </c>
      <c r="AN31" s="62">
        <v>1904.6</v>
      </c>
      <c r="AO31" s="62">
        <v>2639.7</v>
      </c>
      <c r="AP31" s="63">
        <f t="shared" si="10"/>
        <v>0.7215213850058719</v>
      </c>
      <c r="AQ31" s="64">
        <v>1</v>
      </c>
      <c r="AR31" s="65">
        <f>AT31*100/AT59</f>
        <v>1.9302344602746584</v>
      </c>
      <c r="AS31" s="144">
        <v>7386.63</v>
      </c>
      <c r="AT31" s="62">
        <v>7386.6</v>
      </c>
      <c r="AU31" s="62">
        <v>3747.6</v>
      </c>
      <c r="AV31" s="26">
        <f t="shared" si="11"/>
        <v>0.5073490888267045</v>
      </c>
      <c r="AW31" s="203">
        <v>0.8</v>
      </c>
      <c r="AX31" s="62">
        <v>1882.3</v>
      </c>
      <c r="AY31" s="66">
        <f t="shared" si="12"/>
        <v>98.82915047779062</v>
      </c>
      <c r="AZ31" s="66">
        <f t="shared" si="13"/>
        <v>50.22681182623546</v>
      </c>
      <c r="BA31" s="203">
        <v>0</v>
      </c>
      <c r="BB31" s="203">
        <v>1</v>
      </c>
      <c r="BC31" s="67">
        <v>2693</v>
      </c>
      <c r="BD31" s="31">
        <f>AT31*1000/BC31</f>
        <v>2742.8889714073525</v>
      </c>
      <c r="BE31" s="63">
        <f>BD31/BD62*100%</f>
        <v>0.7083451569665927</v>
      </c>
      <c r="BF31" s="203">
        <v>0.7</v>
      </c>
      <c r="BG31" s="68">
        <f>BD31*100/BD59</f>
        <v>70.83451569665927</v>
      </c>
      <c r="BH31" s="69">
        <f t="shared" si="14"/>
        <v>78.78253596555707</v>
      </c>
      <c r="BI31" s="69">
        <f t="shared" si="15"/>
        <v>20.313705629112174</v>
      </c>
      <c r="BJ31" s="62">
        <f>1500492.18/1000</f>
        <v>1500.49218</v>
      </c>
      <c r="BK31" s="66">
        <f t="shared" si="16"/>
        <v>557.1823913850724</v>
      </c>
      <c r="BL31" s="58">
        <f>BK31/BK62*100%</f>
        <v>0.8151803824410171</v>
      </c>
      <c r="BM31" s="205">
        <v>0</v>
      </c>
      <c r="BN31" s="70">
        <v>505.4</v>
      </c>
      <c r="BO31" s="71">
        <v>151.51</v>
      </c>
      <c r="BP31" s="58">
        <f>BO31/(BN31+BO31)</f>
        <v>0.23064042258452452</v>
      </c>
      <c r="BQ31" s="208">
        <v>1</v>
      </c>
      <c r="BR31" s="209">
        <v>1</v>
      </c>
      <c r="BS31" s="62">
        <v>0</v>
      </c>
      <c r="BT31" s="72">
        <f t="shared" si="18"/>
        <v>0</v>
      </c>
      <c r="BU31" s="211">
        <f t="shared" si="19"/>
        <v>0</v>
      </c>
      <c r="BV31" s="169">
        <v>0.43044425773909556</v>
      </c>
      <c r="BW31" s="214">
        <f t="shared" si="20"/>
        <v>0.9956955574226091</v>
      </c>
      <c r="BX31" s="219">
        <f>2+2+3</f>
        <v>7</v>
      </c>
      <c r="BY31" s="214">
        <f t="shared" si="21"/>
        <v>0.41666666666666663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>
        <v>1</v>
      </c>
      <c r="CG31" s="221">
        <f t="shared" si="23"/>
        <v>0</v>
      </c>
      <c r="CH31" s="73"/>
      <c r="CI31" s="48"/>
      <c r="CJ31" s="31"/>
      <c r="CK31" s="221">
        <f t="shared" si="24"/>
        <v>1</v>
      </c>
      <c r="CL31" s="240">
        <f t="shared" si="25"/>
        <v>13</v>
      </c>
      <c r="CM31" s="221">
        <f t="shared" si="26"/>
        <v>0.1875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0</v>
      </c>
      <c r="CS31" s="209">
        <f t="shared" si="29"/>
        <v>1</v>
      </c>
      <c r="CT31" s="224">
        <v>0</v>
      </c>
      <c r="CU31" s="33">
        <f t="shared" si="30"/>
        <v>1</v>
      </c>
      <c r="CV31" s="219">
        <f>4+3+1+1</f>
        <v>9</v>
      </c>
      <c r="CW31" s="239">
        <f t="shared" si="31"/>
        <v>0.18181818181818177</v>
      </c>
      <c r="CX31" s="219">
        <v>3</v>
      </c>
      <c r="CY31" s="214">
        <f t="shared" si="32"/>
        <v>0.625</v>
      </c>
      <c r="CZ31" s="241">
        <f t="shared" si="33"/>
        <v>12</v>
      </c>
      <c r="DA31" s="214">
        <f t="shared" si="34"/>
        <v>0.4545454545454546</v>
      </c>
      <c r="DB31" s="252">
        <v>0</v>
      </c>
      <c r="DC31" s="253">
        <v>1</v>
      </c>
      <c r="DD31" s="224">
        <v>7</v>
      </c>
      <c r="DE31" s="251">
        <f t="shared" si="35"/>
        <v>0.5</v>
      </c>
      <c r="DF31" s="70">
        <v>15</v>
      </c>
      <c r="DG31" s="209">
        <f t="shared" si="36"/>
        <v>0.6666666666666667</v>
      </c>
      <c r="DH31" s="62">
        <v>1</v>
      </c>
      <c r="DI31" s="253">
        <v>0</v>
      </c>
      <c r="DJ31" s="224">
        <v>1</v>
      </c>
      <c r="DK31" s="260">
        <v>0.8</v>
      </c>
      <c r="DL31" s="220">
        <f t="shared" si="37"/>
        <v>24</v>
      </c>
      <c r="DM31" s="259">
        <f t="shared" si="38"/>
        <v>0.6065573770491803</v>
      </c>
      <c r="DN31" s="175">
        <v>661</v>
      </c>
      <c r="DO31" s="166">
        <f>1-DN31/(1650)*100/100</f>
        <v>0.5993939393939394</v>
      </c>
      <c r="DP31" s="66">
        <v>1</v>
      </c>
      <c r="DQ31" s="28">
        <f t="shared" si="39"/>
        <v>0.75</v>
      </c>
      <c r="DR31" s="45">
        <v>1</v>
      </c>
      <c r="DS31" s="28">
        <v>1</v>
      </c>
      <c r="DT31" s="75"/>
      <c r="DU31" s="45">
        <v>0</v>
      </c>
      <c r="DV31" s="28">
        <v>0</v>
      </c>
      <c r="DW31" s="46"/>
      <c r="DX31" s="45">
        <v>1</v>
      </c>
      <c r="DY31" s="28">
        <v>1</v>
      </c>
      <c r="DZ31" s="76"/>
      <c r="EA31" s="45">
        <v>1</v>
      </c>
      <c r="EB31" s="69">
        <v>1</v>
      </c>
      <c r="EC31" s="49"/>
      <c r="ED31" s="49">
        <v>1</v>
      </c>
      <c r="EE31" s="69">
        <v>1</v>
      </c>
      <c r="EF31" s="49"/>
      <c r="EG31" s="49">
        <v>1</v>
      </c>
      <c r="EH31" s="172">
        <v>1</v>
      </c>
      <c r="EI31" s="75"/>
      <c r="EJ31" s="49"/>
      <c r="EK31" s="158"/>
      <c r="EL31" s="176"/>
      <c r="EM31" s="174"/>
      <c r="EN31" s="50">
        <f t="shared" si="40"/>
        <v>19.2082876791834</v>
      </c>
      <c r="EO31" s="24">
        <f t="shared" si="41"/>
        <v>22</v>
      </c>
      <c r="EP31" s="51">
        <f t="shared" si="42"/>
        <v>0.6333333333333329</v>
      </c>
      <c r="EQ31" s="79" t="s">
        <v>117</v>
      </c>
    </row>
    <row r="32" spans="1:147" s="54" customFormat="1" ht="18.75">
      <c r="A32" s="55">
        <f t="shared" si="0"/>
        <v>23</v>
      </c>
      <c r="B32" s="56" t="s">
        <v>139</v>
      </c>
      <c r="C32" s="57">
        <v>0</v>
      </c>
      <c r="D32" s="158">
        <v>1</v>
      </c>
      <c r="E32" s="57">
        <v>0</v>
      </c>
      <c r="F32" s="158">
        <v>1</v>
      </c>
      <c r="G32" s="189">
        <v>6098.9</v>
      </c>
      <c r="H32" s="185">
        <v>7114.17526</v>
      </c>
      <c r="I32" s="58">
        <f t="shared" si="1"/>
        <v>-0.16646858613848406</v>
      </c>
      <c r="J32" s="151">
        <v>0.2</v>
      </c>
      <c r="K32" s="189">
        <v>7114.17526</v>
      </c>
      <c r="L32" s="185">
        <v>13492.56615</v>
      </c>
      <c r="M32" s="58">
        <f t="shared" si="2"/>
        <v>0.5272662872955416</v>
      </c>
      <c r="N32" s="59">
        <v>0.8</v>
      </c>
      <c r="O32" s="189">
        <v>7114.17526</v>
      </c>
      <c r="P32" s="185">
        <v>7114.17526</v>
      </c>
      <c r="Q32" s="58">
        <f t="shared" si="3"/>
        <v>1</v>
      </c>
      <c r="R32" s="28">
        <v>1</v>
      </c>
      <c r="S32" s="189">
        <v>7114.17526</v>
      </c>
      <c r="T32" s="185">
        <v>4355.52677</v>
      </c>
      <c r="U32" s="61">
        <f t="shared" si="4"/>
        <v>1.6333673596041287</v>
      </c>
      <c r="V32" s="155">
        <v>1</v>
      </c>
      <c r="W32" s="189">
        <v>903.443</v>
      </c>
      <c r="X32" s="185">
        <v>1559.8717</v>
      </c>
      <c r="Y32" s="61">
        <f t="shared" si="5"/>
        <v>1.7265856285343957</v>
      </c>
      <c r="Z32" s="155">
        <v>0</v>
      </c>
      <c r="AA32" s="189">
        <v>1559.8717</v>
      </c>
      <c r="AB32" s="185">
        <v>4978.73313</v>
      </c>
      <c r="AC32" s="61">
        <f t="shared" si="6"/>
        <v>0.3133069516421339</v>
      </c>
      <c r="AD32" s="181">
        <f t="shared" si="7"/>
        <v>0.6866930483578662</v>
      </c>
      <c r="AE32" s="184">
        <v>6378.39089</v>
      </c>
      <c r="AF32" s="185">
        <v>13492.56615</v>
      </c>
      <c r="AG32" s="185">
        <v>253</v>
      </c>
      <c r="AH32" s="58">
        <f t="shared" si="8"/>
        <v>0.48176736440868945</v>
      </c>
      <c r="AI32" s="60">
        <v>0.8</v>
      </c>
      <c r="AJ32" s="195">
        <v>-945</v>
      </c>
      <c r="AK32" s="196">
        <v>-106.4</v>
      </c>
      <c r="AL32" s="196">
        <f t="shared" si="9"/>
        <v>-838.6</v>
      </c>
      <c r="AM32" s="147">
        <v>1</v>
      </c>
      <c r="AN32" s="62">
        <v>2225.2</v>
      </c>
      <c r="AO32" s="62">
        <v>3240.2</v>
      </c>
      <c r="AP32" s="63">
        <f t="shared" si="10"/>
        <v>0.6867477316215048</v>
      </c>
      <c r="AQ32" s="64">
        <v>1</v>
      </c>
      <c r="AR32" s="65">
        <f>AT32*100/AT61</f>
        <v>3.232814769771733</v>
      </c>
      <c r="AS32" s="144">
        <v>12371.26</v>
      </c>
      <c r="AT32" s="62">
        <v>12371.3</v>
      </c>
      <c r="AU32" s="62">
        <v>5727</v>
      </c>
      <c r="AV32" s="26">
        <f t="shared" si="11"/>
        <v>0.4629277858520474</v>
      </c>
      <c r="AW32" s="203">
        <v>1</v>
      </c>
      <c r="AX32" s="62">
        <v>2147.56</v>
      </c>
      <c r="AY32" s="66">
        <f t="shared" si="12"/>
        <v>96.51087542692792</v>
      </c>
      <c r="AZ32" s="66">
        <f t="shared" si="13"/>
        <v>37.498865025318665</v>
      </c>
      <c r="BA32" s="203">
        <v>0</v>
      </c>
      <c r="BB32" s="203">
        <v>1</v>
      </c>
      <c r="BC32" s="67">
        <v>5799</v>
      </c>
      <c r="BD32" s="31">
        <f>AS32*1000/BC32</f>
        <v>2133.343679944818</v>
      </c>
      <c r="BE32" s="63">
        <f>BD32/BD65*100%</f>
        <v>0.5509314010106818</v>
      </c>
      <c r="BF32" s="203">
        <v>0</v>
      </c>
      <c r="BG32" s="68">
        <f>BD32*100/BD61</f>
        <v>55.09314010106818</v>
      </c>
      <c r="BH32" s="69">
        <f t="shared" si="14"/>
        <v>81.03914973934927</v>
      </c>
      <c r="BI32" s="69">
        <f t="shared" si="15"/>
        <v>14.576343310727248</v>
      </c>
      <c r="BJ32" s="62">
        <f>1803283.16/1000</f>
        <v>1803.28316</v>
      </c>
      <c r="BK32" s="66">
        <f t="shared" si="16"/>
        <v>310.96450422486635</v>
      </c>
      <c r="BL32" s="58">
        <f>BK32/BK65*100%</f>
        <v>0.45495365144161154</v>
      </c>
      <c r="BM32" s="205">
        <v>0</v>
      </c>
      <c r="BN32" s="70">
        <v>648</v>
      </c>
      <c r="BO32" s="73">
        <v>206.59</v>
      </c>
      <c r="BP32" s="58">
        <f>BO32/(BN32+BO32)</f>
        <v>0.24174165389250984</v>
      </c>
      <c r="BQ32" s="208">
        <v>1</v>
      </c>
      <c r="BR32" s="209">
        <v>1</v>
      </c>
      <c r="BS32" s="62">
        <f>1335368.06/1000</f>
        <v>1335.36806</v>
      </c>
      <c r="BT32" s="72">
        <f t="shared" si="18"/>
        <v>0.10794080331088891</v>
      </c>
      <c r="BU32" s="211">
        <f t="shared" si="19"/>
        <v>0.21588160662177783</v>
      </c>
      <c r="BV32" s="169">
        <v>0</v>
      </c>
      <c r="BW32" s="214">
        <f t="shared" si="20"/>
        <v>1</v>
      </c>
      <c r="BX32" s="219">
        <f>3+2+1</f>
        <v>6</v>
      </c>
      <c r="BY32" s="214">
        <f t="shared" si="21"/>
        <v>0.5</v>
      </c>
      <c r="BZ32" s="224">
        <v>1</v>
      </c>
      <c r="CA32" s="33">
        <v>0</v>
      </c>
      <c r="CB32" s="224">
        <v>2</v>
      </c>
      <c r="CC32" s="221">
        <f t="shared" si="22"/>
        <v>0.5</v>
      </c>
      <c r="CD32" s="225">
        <v>2</v>
      </c>
      <c r="CE32" s="223">
        <v>0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11</v>
      </c>
      <c r="CM32" s="221">
        <f t="shared" si="26"/>
        <v>0.3125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1</v>
      </c>
      <c r="CS32" s="209">
        <f t="shared" si="29"/>
        <v>0.6666666666666667</v>
      </c>
      <c r="CT32" s="224">
        <v>0</v>
      </c>
      <c r="CU32" s="33">
        <f t="shared" si="30"/>
        <v>1</v>
      </c>
      <c r="CV32" s="219">
        <f>1+2+1+1</f>
        <v>5</v>
      </c>
      <c r="CW32" s="239">
        <f t="shared" si="31"/>
        <v>0.5454545454545454</v>
      </c>
      <c r="CX32" s="219">
        <v>0</v>
      </c>
      <c r="CY32" s="214">
        <f t="shared" si="32"/>
        <v>1</v>
      </c>
      <c r="CZ32" s="241">
        <f t="shared" si="33"/>
        <v>6</v>
      </c>
      <c r="DA32" s="214">
        <f t="shared" si="34"/>
        <v>0.7272727272727273</v>
      </c>
      <c r="DB32" s="252">
        <v>0</v>
      </c>
      <c r="DC32" s="253">
        <v>1</v>
      </c>
      <c r="DD32" s="224">
        <v>4</v>
      </c>
      <c r="DE32" s="251">
        <f t="shared" si="35"/>
        <v>0.7142857142857143</v>
      </c>
      <c r="DF32" s="70">
        <v>3</v>
      </c>
      <c r="DG32" s="209">
        <f t="shared" si="36"/>
        <v>0.9333333333333333</v>
      </c>
      <c r="DH32" s="62">
        <v>1</v>
      </c>
      <c r="DI32" s="253">
        <v>0</v>
      </c>
      <c r="DJ32" s="224">
        <v>1</v>
      </c>
      <c r="DK32" s="260">
        <v>0.8</v>
      </c>
      <c r="DL32" s="220">
        <f t="shared" si="37"/>
        <v>9</v>
      </c>
      <c r="DM32" s="259">
        <f t="shared" si="38"/>
        <v>0.8524590163934427</v>
      </c>
      <c r="DN32" s="175">
        <v>278</v>
      </c>
      <c r="DO32" s="166">
        <f>1-DN32/(1388)*100/100</f>
        <v>0.7997118155619597</v>
      </c>
      <c r="DP32" s="66">
        <v>1</v>
      </c>
      <c r="DQ32" s="28">
        <f t="shared" si="39"/>
        <v>0.75</v>
      </c>
      <c r="DR32" s="45">
        <v>1</v>
      </c>
      <c r="DS32" s="28">
        <v>1</v>
      </c>
      <c r="DT32" s="75"/>
      <c r="DU32" s="45">
        <v>1</v>
      </c>
      <c r="DV32" s="28">
        <v>1</v>
      </c>
      <c r="DW32" s="46"/>
      <c r="DX32" s="45">
        <v>1</v>
      </c>
      <c r="DY32" s="28">
        <v>1</v>
      </c>
      <c r="DZ32" s="76"/>
      <c r="EA32" s="45">
        <v>0</v>
      </c>
      <c r="EB32" s="69">
        <v>0</v>
      </c>
      <c r="EC32" s="49"/>
      <c r="ED32" s="49">
        <v>0</v>
      </c>
      <c r="EE32" s="69">
        <v>0</v>
      </c>
      <c r="EF32" s="49"/>
      <c r="EG32" s="49">
        <v>0</v>
      </c>
      <c r="EH32" s="172">
        <v>0</v>
      </c>
      <c r="EI32" s="75"/>
      <c r="EJ32" s="49"/>
      <c r="EK32" s="158"/>
      <c r="EL32" s="176"/>
      <c r="EM32" s="174"/>
      <c r="EN32" s="50">
        <f t="shared" si="40"/>
        <v>19.14451821420777</v>
      </c>
      <c r="EO32" s="24">
        <f t="shared" si="41"/>
        <v>23</v>
      </c>
      <c r="EP32" s="51">
        <f t="shared" si="42"/>
        <v>0.6333333333333329</v>
      </c>
      <c r="EQ32" s="77" t="s">
        <v>116</v>
      </c>
    </row>
    <row r="33" spans="1:147" s="109" customFormat="1" ht="21.75" customHeight="1" thickBot="1">
      <c r="A33" s="81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88">
        <v>1525.9</v>
      </c>
      <c r="AO33" s="88">
        <v>2211.3</v>
      </c>
      <c r="AP33" s="89">
        <f t="shared" si="10"/>
        <v>0.6900465789354678</v>
      </c>
      <c r="AQ33" s="90">
        <v>1</v>
      </c>
      <c r="AR33" s="91">
        <f>AT33*100/AT59</f>
        <v>1.8486778340796943</v>
      </c>
      <c r="AS33" s="145">
        <v>7074.51</v>
      </c>
      <c r="AT33" s="88">
        <v>7074.5</v>
      </c>
      <c r="AU33" s="88">
        <v>3980.6</v>
      </c>
      <c r="AV33" s="26">
        <f t="shared" si="11"/>
        <v>0.5626679444936822</v>
      </c>
      <c r="AW33" s="203">
        <v>0.8</v>
      </c>
      <c r="AX33" s="88">
        <v>1435.47</v>
      </c>
      <c r="AY33" s="92">
        <f t="shared" si="12"/>
        <v>94.07366144570418</v>
      </c>
      <c r="AZ33" s="92">
        <f t="shared" si="13"/>
        <v>36.06164899763855</v>
      </c>
      <c r="BA33" s="204">
        <v>0</v>
      </c>
      <c r="BB33" s="204">
        <v>1</v>
      </c>
      <c r="BC33" s="93">
        <v>1888</v>
      </c>
      <c r="BD33" s="31">
        <f>AS33*1000/BC33</f>
        <v>3747.0921610169494</v>
      </c>
      <c r="BE33" s="89">
        <f>BD33/BD47*100%</f>
        <v>0.967678463340051</v>
      </c>
      <c r="BF33" s="204">
        <v>0.9</v>
      </c>
      <c r="BG33" s="94">
        <f>BD33*100/BD59</f>
        <v>96.76784633400509</v>
      </c>
      <c r="BH33" s="95">
        <f t="shared" si="14"/>
        <v>127.18876138672259</v>
      </c>
      <c r="BI33" s="95">
        <f t="shared" si="15"/>
        <v>27.433363629938512</v>
      </c>
      <c r="BJ33" s="88">
        <f>1940773.31/1000</f>
        <v>1940.77331</v>
      </c>
      <c r="BK33" s="92">
        <f t="shared" si="16"/>
        <v>1027.9519650423729</v>
      </c>
      <c r="BL33" s="84">
        <f>BK33/BK47*100%</f>
        <v>1.503935316245686</v>
      </c>
      <c r="BM33" s="206">
        <v>1</v>
      </c>
      <c r="BN33" s="96">
        <v>720.4</v>
      </c>
      <c r="BO33" s="97">
        <v>63.9</v>
      </c>
      <c r="BP33" s="84">
        <f>BO33/(BN33+BO33)</f>
        <v>0.0814739257937014</v>
      </c>
      <c r="BQ33" s="208">
        <v>1</v>
      </c>
      <c r="BR33" s="210">
        <v>1</v>
      </c>
      <c r="BS33" s="88">
        <v>0</v>
      </c>
      <c r="BT33" s="98">
        <f t="shared" si="18"/>
        <v>0</v>
      </c>
      <c r="BU33" s="212">
        <f t="shared" si="19"/>
        <v>0</v>
      </c>
      <c r="BV33" s="170">
        <v>3.032018945521797</v>
      </c>
      <c r="BW33" s="215">
        <f t="shared" si="20"/>
        <v>0.969679810544782</v>
      </c>
      <c r="BX33" s="226">
        <f>4+2+3</f>
        <v>9</v>
      </c>
      <c r="BY33" s="215">
        <f t="shared" si="21"/>
        <v>0.25</v>
      </c>
      <c r="BZ33" s="227">
        <v>0</v>
      </c>
      <c r="CA33" s="33">
        <v>1</v>
      </c>
      <c r="CB33" s="227">
        <v>2</v>
      </c>
      <c r="CC33" s="228">
        <f t="shared" si="22"/>
        <v>0.5</v>
      </c>
      <c r="CD33" s="229">
        <v>1</v>
      </c>
      <c r="CE33" s="223">
        <v>0.5</v>
      </c>
      <c r="CF33" s="96"/>
      <c r="CG33" s="221">
        <f t="shared" si="23"/>
        <v>1</v>
      </c>
      <c r="CH33" s="99"/>
      <c r="CI33" s="100"/>
      <c r="CJ33" s="267">
        <v>1</v>
      </c>
      <c r="CK33" s="228">
        <f t="shared" si="24"/>
        <v>0.8333333333333334</v>
      </c>
      <c r="CL33" s="240">
        <f t="shared" si="25"/>
        <v>13</v>
      </c>
      <c r="CM33" s="228">
        <f t="shared" si="26"/>
        <v>0.1875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242">
        <f t="shared" si="30"/>
        <v>1</v>
      </c>
      <c r="CV33" s="226">
        <f>3+3+2+3</f>
        <v>11</v>
      </c>
      <c r="CW33" s="239">
        <f t="shared" si="31"/>
        <v>0</v>
      </c>
      <c r="CX33" s="226">
        <v>5</v>
      </c>
      <c r="CY33" s="215">
        <f t="shared" si="32"/>
        <v>0.375</v>
      </c>
      <c r="CZ33" s="243">
        <f t="shared" si="33"/>
        <v>16</v>
      </c>
      <c r="DA33" s="215">
        <f t="shared" si="34"/>
        <v>0.2727272727272727</v>
      </c>
      <c r="DB33" s="254">
        <v>2</v>
      </c>
      <c r="DC33" s="255">
        <v>0</v>
      </c>
      <c r="DD33" s="227">
        <v>13</v>
      </c>
      <c r="DE33" s="251">
        <f t="shared" si="35"/>
        <v>0.0714285714285714</v>
      </c>
      <c r="DF33" s="96">
        <v>45</v>
      </c>
      <c r="DG33" s="209">
        <f t="shared" si="36"/>
        <v>0</v>
      </c>
      <c r="DH33" s="88">
        <v>1</v>
      </c>
      <c r="DI33" s="255">
        <v>0</v>
      </c>
      <c r="DJ33" s="227">
        <v>1</v>
      </c>
      <c r="DK33" s="261">
        <v>0.8</v>
      </c>
      <c r="DL33" s="220">
        <f t="shared" si="37"/>
        <v>62</v>
      </c>
      <c r="DM33" s="259">
        <f t="shared" si="38"/>
        <v>-0.016393442622950838</v>
      </c>
      <c r="DN33" s="177">
        <v>400</v>
      </c>
      <c r="DO33" s="167">
        <f>1-DN33/(1002)*100/100</f>
        <v>0.6007984031936127</v>
      </c>
      <c r="DP33" s="92">
        <v>3</v>
      </c>
      <c r="DQ33" s="161">
        <f t="shared" si="39"/>
        <v>0.25</v>
      </c>
      <c r="DR33" s="102">
        <v>1</v>
      </c>
      <c r="DS33" s="161">
        <v>1</v>
      </c>
      <c r="DT33" s="103"/>
      <c r="DU33" s="102">
        <v>0</v>
      </c>
      <c r="DV33" s="161">
        <v>0</v>
      </c>
      <c r="DW33" s="104"/>
      <c r="DX33" s="102">
        <v>0</v>
      </c>
      <c r="DY33" s="161">
        <v>0</v>
      </c>
      <c r="DZ33" s="105"/>
      <c r="EA33" s="102">
        <v>1</v>
      </c>
      <c r="EB33" s="95">
        <v>1</v>
      </c>
      <c r="EC33" s="106"/>
      <c r="ED33" s="106">
        <v>1</v>
      </c>
      <c r="EE33" s="95">
        <v>1</v>
      </c>
      <c r="EF33" s="106"/>
      <c r="EG33" s="106">
        <v>0</v>
      </c>
      <c r="EH33" s="178">
        <v>0</v>
      </c>
      <c r="EI33" s="103"/>
      <c r="EJ33" s="106"/>
      <c r="EK33" s="160"/>
      <c r="EL33" s="179"/>
      <c r="EM33" s="180"/>
      <c r="EN33" s="50">
        <f t="shared" si="40"/>
        <v>16.71612196141964</v>
      </c>
      <c r="EO33" s="24">
        <f t="shared" si="41"/>
        <v>24</v>
      </c>
      <c r="EP33" s="107">
        <f t="shared" si="42"/>
        <v>0.6333333333333329</v>
      </c>
      <c r="EQ33" s="108" t="s">
        <v>117</v>
      </c>
    </row>
    <row r="34" spans="1:147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169941.93998999996</v>
      </c>
      <c r="H34" s="192">
        <f>SUM(H10:H33)</f>
        <v>198684.91324</v>
      </c>
      <c r="I34" s="116">
        <f t="shared" si="1"/>
        <v>-0.16913407750724388</v>
      </c>
      <c r="J34" s="113">
        <f>SUM(J10:J33)/24</f>
        <v>0.19132179796226853</v>
      </c>
      <c r="K34" s="191">
        <f>SUM(K10:K33)</f>
        <v>198684.91324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192867.85681000003</v>
      </c>
      <c r="Q34" s="116">
        <f t="shared" si="3"/>
        <v>1.0301608392720956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157817.09527</v>
      </c>
      <c r="U34" s="116">
        <f t="shared" si="4"/>
        <v>1.2589568506509492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</v>
      </c>
      <c r="AA34" s="191">
        <f>SUM(AA10:AA33)</f>
        <v>49560.555700000004</v>
      </c>
      <c r="AB34" s="192">
        <f>SUM(AB10:AB33)</f>
        <v>166143.71477000002</v>
      </c>
      <c r="AC34" s="118">
        <f t="shared" si="6"/>
        <v>0.29829931134384974</v>
      </c>
      <c r="AD34" s="113">
        <f>SUM(AD10:AD33)/24</f>
        <v>0.7149501009900274</v>
      </c>
      <c r="AE34" s="114">
        <f>SUM(AE10:AE33)</f>
        <v>174452.46801000004</v>
      </c>
      <c r="AF34" s="115">
        <f>SUM(AF10:AF33)</f>
        <v>373137.38125000003</v>
      </c>
      <c r="AG34" s="115">
        <f>SUM(AG10:AG33)</f>
        <v>5200.759999999999</v>
      </c>
      <c r="AH34" s="119">
        <f t="shared" si="8"/>
        <v>0.47413727782064324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58951.69999999999</v>
      </c>
      <c r="AO34" s="121">
        <f>SUM(AO10:AO33)</f>
        <v>70886</v>
      </c>
      <c r="AP34" s="122">
        <f t="shared" si="10"/>
        <v>0.8316409446152977</v>
      </c>
      <c r="AQ34" s="123">
        <v>1</v>
      </c>
      <c r="AR34" s="124">
        <f>SUM(AR1:AR12)</f>
        <v>17.717700139725498</v>
      </c>
      <c r="AS34" s="121">
        <f>SUM(AS10:AS33)</f>
        <v>382678.87000000005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56525.350000000006</v>
      </c>
      <c r="AY34" s="127">
        <f t="shared" si="12"/>
        <v>95.8841729755037</v>
      </c>
      <c r="AZ34" s="127">
        <f t="shared" si="13"/>
        <v>42.24877178479683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114.58256696583818</v>
      </c>
      <c r="BI34" s="129">
        <f t="shared" si="15"/>
        <v>17.651449068657826</v>
      </c>
      <c r="BJ34" s="121">
        <f>SUM(BJ10:BJ33)</f>
        <v>67548.37113000001</v>
      </c>
      <c r="BK34" s="130">
        <f t="shared" si="16"/>
        <v>683.5080963511627</v>
      </c>
      <c r="BL34" s="125">
        <f>BK34/BK40*100%</f>
        <v>1</v>
      </c>
      <c r="BM34" s="123">
        <f>SUM(BM10:BM33)/24</f>
        <v>0.5416666666666666</v>
      </c>
      <c r="BN34" s="121">
        <f>SUM(BN10:BN33)</f>
        <v>15878.800000000001</v>
      </c>
      <c r="BO34" s="120">
        <f>SUM(BO10:BO33)</f>
        <v>4157.8</v>
      </c>
      <c r="BP34" s="131">
        <f>BO34/(BN34+BO34)</f>
        <v>0.2075102562310971</v>
      </c>
      <c r="BQ34" s="207">
        <v>1</v>
      </c>
      <c r="BR34" s="123">
        <f>SUM(BR10:BR33)/24</f>
        <v>0.75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147</v>
      </c>
      <c r="BY34" s="231">
        <f>SUM(BY10:BY33)/24</f>
        <v>0.48958333333333326</v>
      </c>
      <c r="BZ34" s="232">
        <f>SUM(BZ10:BZ33)</f>
        <v>9</v>
      </c>
      <c r="CA34" s="216">
        <f>SUM(CA10:CA33)/24</f>
        <v>0.625</v>
      </c>
      <c r="CB34" s="232">
        <f>SUM(CB10:CB33)</f>
        <v>29</v>
      </c>
      <c r="CC34" s="216">
        <f>SUM(CC10:CC33)/24</f>
        <v>0.6979166666666666</v>
      </c>
      <c r="CD34" s="232">
        <f>SUM(CD10:CD33)</f>
        <v>18</v>
      </c>
      <c r="CE34" s="216">
        <f>SUM(CE10:CE33)/24</f>
        <v>0.625</v>
      </c>
      <c r="CF34" s="232">
        <f>SUM(CF10:CF33)</f>
        <v>8</v>
      </c>
      <c r="CG34" s="216">
        <f>SUM(CG10:CG33)/24</f>
        <v>0.6666666666666666</v>
      </c>
      <c r="CH34" s="232">
        <f>SUM(CH10:CH33)</f>
        <v>0</v>
      </c>
      <c r="CI34" s="216">
        <f>SUM(CI10:CI33)/24</f>
        <v>0</v>
      </c>
      <c r="CJ34" s="232">
        <f>SUM(CJ10:CJ33)</f>
        <v>4</v>
      </c>
      <c r="CK34" s="216">
        <f>SUM(CK10:CK33)/24</f>
        <v>0.9722222222222222</v>
      </c>
      <c r="CL34" s="258">
        <f>SUM(CL10:CL33)</f>
        <v>215</v>
      </c>
      <c r="CM34" s="216">
        <f>SUM(CM10:CM33)/24</f>
        <v>0.4401041666666667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10</v>
      </c>
      <c r="CS34" s="244">
        <f>SUM(CS10:CS33)/24</f>
        <v>0.8611111111111112</v>
      </c>
      <c r="CT34" s="245">
        <f>SUM(CT10:CT33)</f>
        <v>7</v>
      </c>
      <c r="CU34" s="246">
        <f>SUM(CU10:CU33)/24</f>
        <v>0.7083333333333334</v>
      </c>
      <c r="CV34" s="247">
        <f>SUM(CV10:CV33)</f>
        <v>202</v>
      </c>
      <c r="CW34" s="216">
        <f>SUM(CW10:CW33)/24</f>
        <v>0.23484848484848478</v>
      </c>
      <c r="CX34" s="230">
        <f>SUM(CX10:CX33)</f>
        <v>59</v>
      </c>
      <c r="CY34" s="216">
        <f>SUM(CY10:CY33)/24</f>
        <v>0.6927083333333334</v>
      </c>
      <c r="CZ34" s="248">
        <f>SUM(CZ10:CZ33)</f>
        <v>278</v>
      </c>
      <c r="DA34" s="216">
        <f>SUM(DA10:DA33)/24</f>
        <v>0.47348484848484856</v>
      </c>
      <c r="DB34" s="256">
        <f>SUM(DB10:DB33)</f>
        <v>13</v>
      </c>
      <c r="DC34" s="257">
        <f>SUM(DC10:DC33)/24</f>
        <v>0.7291666666666666</v>
      </c>
      <c r="DD34" s="258">
        <f>SUM(DD10:DD33)</f>
        <v>128</v>
      </c>
      <c r="DE34" s="257">
        <f>SUM(DE10:DE33)/24</f>
        <v>0.6190476190476191</v>
      </c>
      <c r="DF34" s="258">
        <f>SUM(DF10:DF33)</f>
        <v>295</v>
      </c>
      <c r="DG34" s="257">
        <f>SUM(DG10:DG33)/24</f>
        <v>0.726851851851852</v>
      </c>
      <c r="DH34" s="258">
        <f>SUM(DH10:DH33)</f>
        <v>20</v>
      </c>
      <c r="DI34" s="257">
        <f>SUM(DI10:DI33)/24</f>
        <v>0.16666666666666666</v>
      </c>
      <c r="DJ34" s="258">
        <f>SUM(DJ10:DJ33)</f>
        <v>51</v>
      </c>
      <c r="DK34" s="257">
        <f>SUM(DK10:DK33)/24</f>
        <v>0.6355555555555558</v>
      </c>
      <c r="DL34" s="264">
        <f>SUM(DL10:DL33)</f>
        <v>507</v>
      </c>
      <c r="DM34" s="265">
        <f>SUM(DM10:DM33)/24</f>
        <v>0.6536885245901639</v>
      </c>
      <c r="DN34" s="127">
        <f>SUM(DN10:DN33)</f>
        <v>8482</v>
      </c>
      <c r="DO34" s="113">
        <f>SUM(DO10:DO33)/24</f>
        <v>0.7790475362626125</v>
      </c>
      <c r="DP34" s="137">
        <f>SUM(DP10:DP33)</f>
        <v>33</v>
      </c>
      <c r="DQ34" s="162">
        <f>SUM(DQ10:DQ33)/24</f>
        <v>0.65625</v>
      </c>
      <c r="DR34" s="127">
        <f>SUM(DR10:DR33)</f>
        <v>24</v>
      </c>
      <c r="DS34" s="113">
        <f>SUM(DS10:DS33)/24</f>
        <v>1</v>
      </c>
      <c r="DT34" s="112">
        <f>SUM(DT1:DT7)</f>
        <v>0</v>
      </c>
      <c r="DU34" s="127">
        <f>SUM(DU10:DU33)</f>
        <v>19</v>
      </c>
      <c r="DV34" s="113">
        <f>SUM(DV10:DV33)/24</f>
        <v>0.7916666666666666</v>
      </c>
      <c r="DW34" s="112">
        <f>SUM(DW1:DW7)</f>
        <v>0</v>
      </c>
      <c r="DX34" s="127">
        <f>SUM(DX10:DX33)</f>
        <v>21</v>
      </c>
      <c r="DY34" s="113">
        <f>SUM(DY10:DY33)/24</f>
        <v>0.875</v>
      </c>
      <c r="DZ34" s="133">
        <f>SUM(DZ1:DZ7)</f>
        <v>0</v>
      </c>
      <c r="EA34" s="127">
        <f>SUM(EA10:EA33)</f>
        <v>23</v>
      </c>
      <c r="EB34" s="113">
        <f>SUM(EB10:EB33)/24</f>
        <v>0.9583333333333334</v>
      </c>
      <c r="EC34" s="127">
        <f>SUM(EC1:EC7)</f>
        <v>0</v>
      </c>
      <c r="ED34" s="127">
        <f>SUM(ED10:ED33)</f>
        <v>23</v>
      </c>
      <c r="EE34" s="113">
        <f>SUM(EE10:EE33)/24</f>
        <v>0.9583333333333334</v>
      </c>
      <c r="EF34" s="127">
        <f>SUM(EF1:EF7)</f>
        <v>0</v>
      </c>
      <c r="EG34" s="127">
        <f>SUM(EG10:EG33)</f>
        <v>20</v>
      </c>
      <c r="EH34" s="113">
        <f>SUM(EH10:EH33)/24</f>
        <v>0.8333333333333334</v>
      </c>
      <c r="EI34" s="112">
        <f>SUM(EI1:EI7)</f>
        <v>0</v>
      </c>
      <c r="EJ34" s="127">
        <f>SUM(EJ10:EJ33)</f>
        <v>0</v>
      </c>
      <c r="EK34" s="113">
        <f>SUM(EK10:EK33)/24</f>
        <v>0</v>
      </c>
      <c r="EL34" s="163"/>
      <c r="EM34" s="162"/>
      <c r="EN34" s="134">
        <f>SUM(EN10:EN33)/24</f>
        <v>21.21646682797781</v>
      </c>
      <c r="EO34" s="135" t="s">
        <v>142</v>
      </c>
      <c r="EP34" s="136">
        <f t="shared" si="42"/>
        <v>0.6333333333333329</v>
      </c>
      <c r="EQ34" s="137" t="s">
        <v>142</v>
      </c>
    </row>
    <row r="35" spans="7:145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4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5" ref="BD35:BD66">BD34</f>
        <v>3872.24920567462</v>
      </c>
      <c r="BK35" s="140">
        <f aca="true" t="shared" si="46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V35" s="141"/>
      <c r="CW35" s="141"/>
      <c r="CX35" s="141"/>
      <c r="CY35" s="141"/>
      <c r="CZ35" s="141"/>
      <c r="DQ35" s="3" t="s">
        <v>143</v>
      </c>
      <c r="EK35" s="3" t="s">
        <v>144</v>
      </c>
      <c r="EN35" s="140">
        <f>EN34+EP34+0.1</f>
        <v>21.949800161311146</v>
      </c>
      <c r="EO35" s="3" t="s">
        <v>145</v>
      </c>
    </row>
    <row r="36" spans="7:145" ht="15.75">
      <c r="G36" s="142">
        <f aca="true" t="shared" si="47" ref="G36:AM36">G35-G34</f>
        <v>-53184.71298999994</v>
      </c>
      <c r="H36" s="142">
        <f t="shared" si="47"/>
        <v>-40867.81797000003</v>
      </c>
      <c r="I36" s="142">
        <f t="shared" si="47"/>
        <v>-0.182534674183818</v>
      </c>
      <c r="J36" s="142">
        <f t="shared" si="47"/>
        <v>0.07704959970420891</v>
      </c>
      <c r="K36" s="142">
        <f t="shared" si="47"/>
        <v>-40867.81797000003</v>
      </c>
      <c r="L36" s="142">
        <f t="shared" si="47"/>
        <v>-2466.690190000052</v>
      </c>
      <c r="M36" s="142">
        <f t="shared" si="47"/>
        <v>-0.10671028870508137</v>
      </c>
      <c r="N36" s="142">
        <f t="shared" si="47"/>
        <v>-0.125</v>
      </c>
      <c r="O36" s="142">
        <f t="shared" si="47"/>
        <v>-40867.81797000003</v>
      </c>
      <c r="P36" s="142">
        <f t="shared" si="47"/>
        <v>-35432.560880000034</v>
      </c>
      <c r="Q36" s="142">
        <f t="shared" si="47"/>
        <v>-0.02773572019225634</v>
      </c>
      <c r="R36" s="142">
        <f t="shared" si="47"/>
        <v>-0.006579787714312779</v>
      </c>
      <c r="S36" s="142">
        <f t="shared" si="47"/>
        <v>-40867.81797000003</v>
      </c>
      <c r="T36" s="142">
        <f t="shared" si="47"/>
        <v>-43296.26126999999</v>
      </c>
      <c r="U36" s="142">
        <f t="shared" si="47"/>
        <v>0.11910764432120535</v>
      </c>
      <c r="V36" s="142">
        <f t="shared" si="47"/>
        <v>-0.125</v>
      </c>
      <c r="W36" s="142">
        <f t="shared" si="47"/>
        <v>-15834.607899999988</v>
      </c>
      <c r="X36" s="142">
        <f t="shared" si="47"/>
        <v>-18821.492800000015</v>
      </c>
      <c r="Y36" s="142">
        <f t="shared" si="47"/>
        <v>0.45010886171500863</v>
      </c>
      <c r="Z36" s="142">
        <f t="shared" si="47"/>
        <v>0.02916666666666666</v>
      </c>
      <c r="AA36" s="142">
        <f t="shared" si="47"/>
        <v>-18821.492800000015</v>
      </c>
      <c r="AB36" s="142">
        <f t="shared" si="47"/>
        <v>-31582.076839999994</v>
      </c>
      <c r="AC36" s="142">
        <f t="shared" si="47"/>
        <v>-0.0698607803266316</v>
      </c>
      <c r="AD36" s="142">
        <f t="shared" si="47"/>
        <v>-0.7149501009900274</v>
      </c>
      <c r="AE36" s="142">
        <f t="shared" si="47"/>
        <v>38401.12777999998</v>
      </c>
      <c r="AF36" s="142">
        <f t="shared" si="47"/>
        <v>-2466.6905700000934</v>
      </c>
      <c r="AG36" s="142">
        <f t="shared" si="47"/>
        <v>-173.34799999999996</v>
      </c>
      <c r="AH36" s="142">
        <f t="shared" si="47"/>
        <v>0.09029546423618134</v>
      </c>
      <c r="AI36" s="142">
        <f t="shared" si="47"/>
        <v>-0.15416666666666667</v>
      </c>
      <c r="AJ36" s="142">
        <f t="shared" si="47"/>
        <v>618.6402300000045</v>
      </c>
      <c r="AK36" s="142">
        <f t="shared" si="47"/>
        <v>10631.333999999999</v>
      </c>
      <c r="AL36" s="142">
        <f t="shared" si="47"/>
        <v>-10012.69376999999</v>
      </c>
      <c r="AM36" s="142">
        <f t="shared" si="47"/>
        <v>0.125</v>
      </c>
      <c r="AN36" s="142"/>
      <c r="AO36" s="142"/>
      <c r="AP36" s="142"/>
      <c r="AQ36" s="142"/>
      <c r="AT36" s="140">
        <f t="shared" si="44"/>
        <v>382678.9</v>
      </c>
      <c r="BD36" s="140">
        <f t="shared" si="45"/>
        <v>3872.24920567462</v>
      </c>
      <c r="BK36" s="140">
        <f t="shared" si="46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V36" s="141"/>
      <c r="CW36" s="141"/>
      <c r="CX36" s="141"/>
      <c r="CY36" s="141"/>
      <c r="CZ36" s="141"/>
      <c r="DQ36" s="3" t="s">
        <v>143</v>
      </c>
      <c r="EK36" s="3" t="s">
        <v>146</v>
      </c>
      <c r="EN36" s="140">
        <f>EN34-EP34+0.1</f>
        <v>20.68313349464448</v>
      </c>
      <c r="EO36" s="3" t="s">
        <v>147</v>
      </c>
    </row>
    <row r="37" spans="46:145" ht="15.75">
      <c r="AT37" s="140">
        <f t="shared" si="44"/>
        <v>382678.9</v>
      </c>
      <c r="BD37" s="140">
        <f t="shared" si="45"/>
        <v>3872.24920567462</v>
      </c>
      <c r="BK37" s="140">
        <f t="shared" si="46"/>
        <v>683.5080963511627</v>
      </c>
      <c r="EK37" s="3" t="s">
        <v>148</v>
      </c>
      <c r="EO37" s="3" t="s">
        <v>149</v>
      </c>
    </row>
    <row r="38" spans="46:63" ht="15.75">
      <c r="AT38" s="140">
        <f t="shared" si="44"/>
        <v>382678.9</v>
      </c>
      <c r="BD38" s="140">
        <f t="shared" si="45"/>
        <v>3872.24920567462</v>
      </c>
      <c r="BK38" s="140">
        <f t="shared" si="46"/>
        <v>683.5080963511627</v>
      </c>
    </row>
    <row r="39" spans="46:63" ht="15.75">
      <c r="AT39" s="140">
        <f t="shared" si="44"/>
        <v>382678.9</v>
      </c>
      <c r="BD39" s="140">
        <f t="shared" si="45"/>
        <v>3872.24920567462</v>
      </c>
      <c r="BK39" s="140">
        <f t="shared" si="46"/>
        <v>683.5080963511627</v>
      </c>
    </row>
    <row r="40" spans="46:63" ht="15.75">
      <c r="AT40" s="140">
        <f t="shared" si="44"/>
        <v>382678.9</v>
      </c>
      <c r="BD40" s="140">
        <f t="shared" si="45"/>
        <v>3872.24920567462</v>
      </c>
      <c r="BK40" s="140">
        <f t="shared" si="46"/>
        <v>683.5080963511627</v>
      </c>
    </row>
    <row r="41" spans="46:63" ht="15.75">
      <c r="AT41" s="140">
        <f t="shared" si="44"/>
        <v>382678.9</v>
      </c>
      <c r="BD41" s="140">
        <f t="shared" si="45"/>
        <v>3872.24920567462</v>
      </c>
      <c r="BK41" s="140">
        <f t="shared" si="46"/>
        <v>683.5080963511627</v>
      </c>
    </row>
    <row r="42" spans="46:63" ht="15.75">
      <c r="AT42" s="140">
        <f t="shared" si="44"/>
        <v>382678.9</v>
      </c>
      <c r="BD42" s="140">
        <f t="shared" si="45"/>
        <v>3872.24920567462</v>
      </c>
      <c r="BK42" s="140">
        <f t="shared" si="46"/>
        <v>683.5080963511627</v>
      </c>
    </row>
    <row r="43" spans="46:63" ht="15.75">
      <c r="AT43" s="140">
        <f t="shared" si="44"/>
        <v>382678.9</v>
      </c>
      <c r="BD43" s="140">
        <f t="shared" si="45"/>
        <v>3872.24920567462</v>
      </c>
      <c r="BK43" s="140">
        <f t="shared" si="46"/>
        <v>683.5080963511627</v>
      </c>
    </row>
    <row r="44" spans="46:63" ht="15.75">
      <c r="AT44" s="140">
        <f t="shared" si="44"/>
        <v>382678.9</v>
      </c>
      <c r="BD44" s="140">
        <f t="shared" si="45"/>
        <v>3872.24920567462</v>
      </c>
      <c r="BK44" s="140">
        <f t="shared" si="46"/>
        <v>683.5080963511627</v>
      </c>
    </row>
    <row r="45" spans="46:63" ht="15.75">
      <c r="AT45" s="140">
        <f t="shared" si="44"/>
        <v>382678.9</v>
      </c>
      <c r="BD45" s="140">
        <f t="shared" si="45"/>
        <v>3872.24920567462</v>
      </c>
      <c r="BK45" s="140">
        <f t="shared" si="46"/>
        <v>683.5080963511627</v>
      </c>
    </row>
    <row r="46" spans="46:63" ht="15.75">
      <c r="AT46" s="140">
        <f t="shared" si="44"/>
        <v>382678.9</v>
      </c>
      <c r="BD46" s="140">
        <f t="shared" si="45"/>
        <v>3872.24920567462</v>
      </c>
      <c r="BK46" s="140">
        <f t="shared" si="46"/>
        <v>683.5080963511627</v>
      </c>
    </row>
    <row r="47" spans="46:63" ht="15.75">
      <c r="AT47" s="140">
        <f t="shared" si="44"/>
        <v>382678.9</v>
      </c>
      <c r="BD47" s="140">
        <f t="shared" si="45"/>
        <v>3872.24920567462</v>
      </c>
      <c r="BK47" s="140">
        <f t="shared" si="46"/>
        <v>683.5080963511627</v>
      </c>
    </row>
    <row r="48" spans="46:63" ht="15.75">
      <c r="AT48" s="140">
        <f t="shared" si="44"/>
        <v>382678.9</v>
      </c>
      <c r="BD48" s="140">
        <f t="shared" si="45"/>
        <v>3872.24920567462</v>
      </c>
      <c r="BK48" s="140">
        <f t="shared" si="46"/>
        <v>683.5080963511627</v>
      </c>
    </row>
    <row r="49" spans="46:63" ht="15.75">
      <c r="AT49" s="140">
        <f t="shared" si="44"/>
        <v>382678.9</v>
      </c>
      <c r="BD49" s="140">
        <f t="shared" si="45"/>
        <v>3872.24920567462</v>
      </c>
      <c r="BK49" s="140">
        <f t="shared" si="46"/>
        <v>683.5080963511627</v>
      </c>
    </row>
    <row r="50" spans="46:63" ht="15.75">
      <c r="AT50" s="140">
        <f t="shared" si="44"/>
        <v>382678.9</v>
      </c>
      <c r="BD50" s="140">
        <f t="shared" si="45"/>
        <v>3872.24920567462</v>
      </c>
      <c r="BK50" s="140">
        <f t="shared" si="46"/>
        <v>683.5080963511627</v>
      </c>
    </row>
    <row r="51" spans="46:63" ht="15.75">
      <c r="AT51" s="140">
        <f t="shared" si="44"/>
        <v>382678.9</v>
      </c>
      <c r="BD51" s="140">
        <f t="shared" si="45"/>
        <v>3872.24920567462</v>
      </c>
      <c r="BK51" s="140">
        <f t="shared" si="46"/>
        <v>683.5080963511627</v>
      </c>
    </row>
    <row r="52" spans="46:63" ht="15.75">
      <c r="AT52" s="140">
        <f t="shared" si="44"/>
        <v>382678.9</v>
      </c>
      <c r="BD52" s="140">
        <f t="shared" si="45"/>
        <v>3872.24920567462</v>
      </c>
      <c r="BK52" s="140">
        <f t="shared" si="46"/>
        <v>683.5080963511627</v>
      </c>
    </row>
    <row r="53" spans="46:63" ht="15.75">
      <c r="AT53" s="140">
        <f t="shared" si="44"/>
        <v>382678.9</v>
      </c>
      <c r="BD53" s="140">
        <f t="shared" si="45"/>
        <v>3872.24920567462</v>
      </c>
      <c r="BK53" s="140">
        <f t="shared" si="46"/>
        <v>683.5080963511627</v>
      </c>
    </row>
    <row r="54" spans="46:63" ht="15.75">
      <c r="AT54" s="140">
        <f t="shared" si="44"/>
        <v>382678.9</v>
      </c>
      <c r="BD54" s="140">
        <f t="shared" si="45"/>
        <v>3872.24920567462</v>
      </c>
      <c r="BK54" s="140">
        <f t="shared" si="46"/>
        <v>683.5080963511627</v>
      </c>
    </row>
    <row r="55" spans="46:63" ht="15.75">
      <c r="AT55" s="140">
        <f t="shared" si="44"/>
        <v>382678.9</v>
      </c>
      <c r="BD55" s="140">
        <f t="shared" si="45"/>
        <v>3872.24920567462</v>
      </c>
      <c r="BK55" s="140">
        <f t="shared" si="46"/>
        <v>683.5080963511627</v>
      </c>
    </row>
    <row r="56" spans="46:63" ht="15.75">
      <c r="AT56" s="140">
        <f t="shared" si="44"/>
        <v>382678.9</v>
      </c>
      <c r="BD56" s="140">
        <f t="shared" si="45"/>
        <v>3872.24920567462</v>
      </c>
      <c r="BK56" s="140">
        <f t="shared" si="46"/>
        <v>683.5080963511627</v>
      </c>
    </row>
    <row r="57" spans="46:63" ht="15.75">
      <c r="AT57" s="140">
        <f t="shared" si="44"/>
        <v>382678.9</v>
      </c>
      <c r="BD57" s="140">
        <f t="shared" si="45"/>
        <v>3872.24920567462</v>
      </c>
      <c r="BK57" s="140">
        <f t="shared" si="46"/>
        <v>683.5080963511627</v>
      </c>
    </row>
    <row r="58" spans="46:63" ht="15.75">
      <c r="AT58" s="140">
        <f t="shared" si="44"/>
        <v>382678.9</v>
      </c>
      <c r="BD58" s="140">
        <f t="shared" si="45"/>
        <v>3872.24920567462</v>
      </c>
      <c r="BK58" s="140">
        <f t="shared" si="46"/>
        <v>683.5080963511627</v>
      </c>
    </row>
    <row r="59" spans="46:63" ht="15.75">
      <c r="AT59" s="140">
        <f t="shared" si="44"/>
        <v>382678.9</v>
      </c>
      <c r="BD59" s="140">
        <f t="shared" si="45"/>
        <v>3872.24920567462</v>
      </c>
      <c r="BK59" s="140">
        <f t="shared" si="46"/>
        <v>683.5080963511627</v>
      </c>
    </row>
    <row r="60" spans="46:63" ht="15.75">
      <c r="AT60" s="140">
        <f t="shared" si="44"/>
        <v>382678.9</v>
      </c>
      <c r="BD60" s="140">
        <f t="shared" si="45"/>
        <v>3872.24920567462</v>
      </c>
      <c r="BK60" s="140">
        <f t="shared" si="46"/>
        <v>683.5080963511627</v>
      </c>
    </row>
    <row r="61" spans="46:63" ht="15.75">
      <c r="AT61" s="140">
        <f t="shared" si="44"/>
        <v>382678.9</v>
      </c>
      <c r="BD61" s="140">
        <f t="shared" si="45"/>
        <v>3872.24920567462</v>
      </c>
      <c r="BK61" s="140">
        <f t="shared" si="46"/>
        <v>683.5080963511627</v>
      </c>
    </row>
    <row r="62" spans="46:63" ht="15.75">
      <c r="AT62" s="140">
        <f t="shared" si="44"/>
        <v>382678.9</v>
      </c>
      <c r="BD62" s="140">
        <f t="shared" si="45"/>
        <v>3872.24920567462</v>
      </c>
      <c r="BK62" s="140">
        <f t="shared" si="46"/>
        <v>683.5080963511627</v>
      </c>
    </row>
    <row r="63" spans="46:63" ht="15.75">
      <c r="AT63" s="140">
        <f t="shared" si="44"/>
        <v>382678.9</v>
      </c>
      <c r="BD63" s="140">
        <f t="shared" si="45"/>
        <v>3872.24920567462</v>
      </c>
      <c r="BK63" s="140">
        <f t="shared" si="46"/>
        <v>683.5080963511627</v>
      </c>
    </row>
    <row r="64" spans="46:63" ht="15.75">
      <c r="AT64" s="140">
        <f t="shared" si="44"/>
        <v>382678.9</v>
      </c>
      <c r="BD64" s="140">
        <f t="shared" si="45"/>
        <v>3872.24920567462</v>
      </c>
      <c r="BK64" s="140">
        <f t="shared" si="46"/>
        <v>683.5080963511627</v>
      </c>
    </row>
    <row r="65" spans="46:63" ht="15.75">
      <c r="AT65" s="140">
        <f t="shared" si="44"/>
        <v>382678.9</v>
      </c>
      <c r="BD65" s="140">
        <f t="shared" si="45"/>
        <v>3872.24920567462</v>
      </c>
      <c r="BK65" s="140">
        <f t="shared" si="46"/>
        <v>683.5080963511627</v>
      </c>
    </row>
    <row r="66" spans="46:63" ht="15.75">
      <c r="AT66" s="140">
        <f t="shared" si="44"/>
        <v>382678.9</v>
      </c>
      <c r="BD66" s="140">
        <f t="shared" si="45"/>
        <v>3872.24920567462</v>
      </c>
      <c r="BK66" s="140">
        <f t="shared" si="46"/>
        <v>683.5080963511627</v>
      </c>
    </row>
    <row r="67" spans="46:63" ht="15.75">
      <c r="AT67" s="140">
        <f t="shared" si="44"/>
        <v>382678.9</v>
      </c>
      <c r="BD67" s="140">
        <f aca="true" t="shared" si="48" ref="BD67:BD90">BD66</f>
        <v>3872.24920567462</v>
      </c>
      <c r="BK67" s="140">
        <f aca="true" t="shared" si="49" ref="BK67:BK99">BK66</f>
        <v>683.5080963511627</v>
      </c>
    </row>
    <row r="68" spans="46:63" ht="15.75">
      <c r="AT68" s="140">
        <f t="shared" si="44"/>
        <v>382678.9</v>
      </c>
      <c r="BD68" s="140">
        <f t="shared" si="48"/>
        <v>3872.24920567462</v>
      </c>
      <c r="BK68" s="140">
        <f t="shared" si="49"/>
        <v>683.5080963511627</v>
      </c>
    </row>
    <row r="69" spans="46:63" ht="15.75">
      <c r="AT69" s="140">
        <f t="shared" si="44"/>
        <v>382678.9</v>
      </c>
      <c r="BD69" s="140">
        <f t="shared" si="48"/>
        <v>3872.24920567462</v>
      </c>
      <c r="BK69" s="140">
        <f t="shared" si="49"/>
        <v>683.5080963511627</v>
      </c>
    </row>
    <row r="70" spans="46:63" ht="15.75">
      <c r="AT70" s="140">
        <f t="shared" si="44"/>
        <v>382678.9</v>
      </c>
      <c r="BD70" s="140">
        <f t="shared" si="48"/>
        <v>3872.24920567462</v>
      </c>
      <c r="BK70" s="140">
        <f t="shared" si="49"/>
        <v>683.5080963511627</v>
      </c>
    </row>
    <row r="71" spans="46:63" ht="15.75">
      <c r="AT71" s="140">
        <f t="shared" si="44"/>
        <v>382678.9</v>
      </c>
      <c r="BD71" s="140">
        <f t="shared" si="48"/>
        <v>3872.24920567462</v>
      </c>
      <c r="BK71" s="140">
        <f t="shared" si="49"/>
        <v>683.5080963511627</v>
      </c>
    </row>
    <row r="72" spans="46:63" ht="15.75">
      <c r="AT72" s="140">
        <f t="shared" si="44"/>
        <v>382678.9</v>
      </c>
      <c r="BD72" s="140">
        <f t="shared" si="48"/>
        <v>3872.24920567462</v>
      </c>
      <c r="BK72" s="140">
        <f t="shared" si="49"/>
        <v>683.5080963511627</v>
      </c>
    </row>
    <row r="73" spans="46:63" ht="15.75">
      <c r="AT73" s="140">
        <f t="shared" si="44"/>
        <v>382678.9</v>
      </c>
      <c r="BD73" s="140">
        <f t="shared" si="48"/>
        <v>3872.24920567462</v>
      </c>
      <c r="BK73" s="140">
        <f t="shared" si="49"/>
        <v>683.5080963511627</v>
      </c>
    </row>
    <row r="74" spans="46:63" ht="15.75">
      <c r="AT74" s="140">
        <f t="shared" si="44"/>
        <v>382678.9</v>
      </c>
      <c r="BD74" s="140">
        <f t="shared" si="48"/>
        <v>3872.24920567462</v>
      </c>
      <c r="BK74" s="140">
        <f t="shared" si="49"/>
        <v>683.5080963511627</v>
      </c>
    </row>
    <row r="75" spans="46:63" ht="15.75">
      <c r="AT75" s="140">
        <f t="shared" si="44"/>
        <v>382678.9</v>
      </c>
      <c r="BD75" s="140">
        <f t="shared" si="48"/>
        <v>3872.24920567462</v>
      </c>
      <c r="BK75" s="140">
        <f t="shared" si="49"/>
        <v>683.5080963511627</v>
      </c>
    </row>
    <row r="76" spans="46:63" ht="15.75">
      <c r="AT76" s="140">
        <f t="shared" si="44"/>
        <v>382678.9</v>
      </c>
      <c r="BD76" s="140">
        <f t="shared" si="48"/>
        <v>3872.24920567462</v>
      </c>
      <c r="BK76" s="140">
        <f t="shared" si="49"/>
        <v>683.5080963511627</v>
      </c>
    </row>
    <row r="77" spans="46:63" ht="15.75">
      <c r="AT77" s="140">
        <f t="shared" si="44"/>
        <v>382678.9</v>
      </c>
      <c r="BD77" s="140">
        <f t="shared" si="48"/>
        <v>3872.24920567462</v>
      </c>
      <c r="BK77" s="140">
        <f t="shared" si="49"/>
        <v>683.5080963511627</v>
      </c>
    </row>
    <row r="78" spans="46:63" ht="15.75">
      <c r="AT78" s="140">
        <f t="shared" si="44"/>
        <v>382678.9</v>
      </c>
      <c r="BD78" s="140">
        <f t="shared" si="48"/>
        <v>3872.24920567462</v>
      </c>
      <c r="BK78" s="140">
        <f t="shared" si="49"/>
        <v>683.5080963511627</v>
      </c>
    </row>
    <row r="79" spans="46:63" ht="15.75">
      <c r="AT79" s="140">
        <f t="shared" si="44"/>
        <v>382678.9</v>
      </c>
      <c r="BD79" s="140">
        <f t="shared" si="48"/>
        <v>3872.24920567462</v>
      </c>
      <c r="BK79" s="140">
        <f t="shared" si="49"/>
        <v>683.5080963511627</v>
      </c>
    </row>
    <row r="80" spans="56:63" ht="15.75">
      <c r="BD80" s="140">
        <f t="shared" si="48"/>
        <v>3872.24920567462</v>
      </c>
      <c r="BK80" s="140">
        <f t="shared" si="49"/>
        <v>683.5080963511627</v>
      </c>
    </row>
    <row r="81" spans="56:63" ht="15.75">
      <c r="BD81" s="140">
        <f t="shared" si="48"/>
        <v>3872.24920567462</v>
      </c>
      <c r="BK81" s="140">
        <f t="shared" si="49"/>
        <v>683.5080963511627</v>
      </c>
    </row>
    <row r="82" spans="56:63" ht="15.75">
      <c r="BD82" s="140">
        <f t="shared" si="48"/>
        <v>3872.24920567462</v>
      </c>
      <c r="BK82" s="140">
        <f t="shared" si="49"/>
        <v>683.5080963511627</v>
      </c>
    </row>
    <row r="83" spans="56:63" ht="15.75">
      <c r="BD83" s="140">
        <f t="shared" si="48"/>
        <v>3872.24920567462</v>
      </c>
      <c r="BK83" s="140">
        <f t="shared" si="49"/>
        <v>683.5080963511627</v>
      </c>
    </row>
    <row r="84" spans="56:63" ht="15.75">
      <c r="BD84" s="140">
        <f t="shared" si="48"/>
        <v>3872.24920567462</v>
      </c>
      <c r="BK84" s="140">
        <f t="shared" si="49"/>
        <v>683.5080963511627</v>
      </c>
    </row>
    <row r="85" spans="56:63" ht="15.75">
      <c r="BD85" s="140">
        <f t="shared" si="48"/>
        <v>3872.24920567462</v>
      </c>
      <c r="BK85" s="140">
        <f t="shared" si="49"/>
        <v>683.5080963511627</v>
      </c>
    </row>
    <row r="86" spans="56:63" ht="15.75">
      <c r="BD86" s="140">
        <f t="shared" si="48"/>
        <v>3872.24920567462</v>
      </c>
      <c r="BK86" s="140">
        <f t="shared" si="49"/>
        <v>683.5080963511627</v>
      </c>
    </row>
    <row r="87" spans="56:63" ht="15.75">
      <c r="BD87" s="140">
        <f t="shared" si="48"/>
        <v>3872.24920567462</v>
      </c>
      <c r="BK87" s="140">
        <f t="shared" si="49"/>
        <v>683.5080963511627</v>
      </c>
    </row>
    <row r="88" spans="56:63" ht="15.75">
      <c r="BD88" s="140">
        <f t="shared" si="48"/>
        <v>3872.24920567462</v>
      </c>
      <c r="BK88" s="140">
        <f t="shared" si="49"/>
        <v>683.5080963511627</v>
      </c>
    </row>
    <row r="89" spans="56:63" ht="15.75">
      <c r="BD89" s="140">
        <f t="shared" si="48"/>
        <v>3872.24920567462</v>
      </c>
      <c r="BK89" s="140">
        <f t="shared" si="49"/>
        <v>683.5080963511627</v>
      </c>
    </row>
    <row r="90" spans="56:63" ht="15.75">
      <c r="BD90" s="140">
        <f t="shared" si="48"/>
        <v>3872.24920567462</v>
      </c>
      <c r="BK90" s="140">
        <f t="shared" si="49"/>
        <v>683.5080963511627</v>
      </c>
    </row>
    <row r="91" ht="15.75">
      <c r="BK91" s="140">
        <f t="shared" si="49"/>
        <v>683.5080963511627</v>
      </c>
    </row>
    <row r="92" ht="15.75">
      <c r="BK92" s="140">
        <f t="shared" si="49"/>
        <v>683.5080963511627</v>
      </c>
    </row>
    <row r="93" ht="15.75">
      <c r="BK93" s="140">
        <f t="shared" si="49"/>
        <v>683.5080963511627</v>
      </c>
    </row>
    <row r="94" ht="15.75">
      <c r="BK94" s="140">
        <f t="shared" si="49"/>
        <v>683.5080963511627</v>
      </c>
    </row>
    <row r="95" ht="15.75">
      <c r="BK95" s="140">
        <f t="shared" si="49"/>
        <v>683.5080963511627</v>
      </c>
    </row>
    <row r="96" ht="15.75">
      <c r="BK96" s="140">
        <f t="shared" si="49"/>
        <v>683.5080963511627</v>
      </c>
    </row>
    <row r="97" ht="15.75">
      <c r="BK97" s="140">
        <f t="shared" si="49"/>
        <v>683.5080963511627</v>
      </c>
    </row>
    <row r="98" ht="15.75">
      <c r="BK98" s="140">
        <f t="shared" si="49"/>
        <v>683.5080963511627</v>
      </c>
    </row>
    <row r="99" ht="15.75">
      <c r="BK99" s="140">
        <f t="shared" si="49"/>
        <v>683.5080963511627</v>
      </c>
    </row>
  </sheetData>
  <sheetProtection/>
  <mergeCells count="184">
    <mergeCell ref="DS8:DS9"/>
    <mergeCell ref="DP8:DP9"/>
    <mergeCell ref="BU8:BU9"/>
    <mergeCell ref="BS8:BS9"/>
    <mergeCell ref="BT8:BT9"/>
    <mergeCell ref="DO8:DO9"/>
    <mergeCell ref="DR8:DR9"/>
    <mergeCell ref="DQ8:DQ9"/>
    <mergeCell ref="DH8:DI8"/>
    <mergeCell ref="DD8:DE8"/>
    <mergeCell ref="EI4:EK6"/>
    <mergeCell ref="EI7:EK7"/>
    <mergeCell ref="EI8:EI9"/>
    <mergeCell ref="EG8:EG9"/>
    <mergeCell ref="EJ8:EJ9"/>
    <mergeCell ref="EF4:EH6"/>
    <mergeCell ref="EH8:EH9"/>
    <mergeCell ref="EF7:EH7"/>
    <mergeCell ref="EF8:EF9"/>
    <mergeCell ref="EK8:EK9"/>
    <mergeCell ref="EC4:EE6"/>
    <mergeCell ref="EC7:EE7"/>
    <mergeCell ref="EC8:EC9"/>
    <mergeCell ref="EE8:EE9"/>
    <mergeCell ref="ED8:ED9"/>
    <mergeCell ref="DT7:DV7"/>
    <mergeCell ref="DT8:DT9"/>
    <mergeCell ref="DU8:DU9"/>
    <mergeCell ref="DZ4:EB6"/>
    <mergeCell ref="DZ7:EB7"/>
    <mergeCell ref="DZ8:DZ9"/>
    <mergeCell ref="EA8:EA9"/>
    <mergeCell ref="EB8:EB9"/>
    <mergeCell ref="CN4:DA6"/>
    <mergeCell ref="CT8:CU8"/>
    <mergeCell ref="DB4:DM6"/>
    <mergeCell ref="DW4:DY6"/>
    <mergeCell ref="DW7:DY7"/>
    <mergeCell ref="DW8:DW9"/>
    <mergeCell ref="DV8:DV9"/>
    <mergeCell ref="DX8:DX9"/>
    <mergeCell ref="DY8:DY9"/>
    <mergeCell ref="DT4:DV6"/>
    <mergeCell ref="CN7:DA7"/>
    <mergeCell ref="DP4:DQ6"/>
    <mergeCell ref="DP7:DQ7"/>
    <mergeCell ref="BP8:BP9"/>
    <mergeCell ref="DB8:DC8"/>
    <mergeCell ref="BW8:BW9"/>
    <mergeCell ref="BN4:BR6"/>
    <mergeCell ref="BN7:BR7"/>
    <mergeCell ref="CR8:CS8"/>
    <mergeCell ref="BV4:BW6"/>
    <mergeCell ref="DN8:DN9"/>
    <mergeCell ref="DL8:DM8"/>
    <mergeCell ref="DJ8:DK8"/>
    <mergeCell ref="BS4:BU6"/>
    <mergeCell ref="BS7:BU7"/>
    <mergeCell ref="DB7:DM7"/>
    <mergeCell ref="DN4:DO6"/>
    <mergeCell ref="BX4:CM6"/>
    <mergeCell ref="CB8:CC8"/>
    <mergeCell ref="CZ8:DA8"/>
    <mergeCell ref="BN8:BN9"/>
    <mergeCell ref="BK8:BK9"/>
    <mergeCell ref="BO8:BO9"/>
    <mergeCell ref="BE8:BE9"/>
    <mergeCell ref="BL8:BL9"/>
    <mergeCell ref="BM8:BM9"/>
    <mergeCell ref="BJ8:BJ9"/>
    <mergeCell ref="BF8:BF9"/>
    <mergeCell ref="X8:X9"/>
    <mergeCell ref="W8:W9"/>
    <mergeCell ref="I8:I9"/>
    <mergeCell ref="P8:P9"/>
    <mergeCell ref="Q8:Q9"/>
    <mergeCell ref="J8:J9"/>
    <mergeCell ref="S8:S9"/>
    <mergeCell ref="A4:A9"/>
    <mergeCell ref="B4:B9"/>
    <mergeCell ref="K4:N6"/>
    <mergeCell ref="O4:R6"/>
    <mergeCell ref="K7:N7"/>
    <mergeCell ref="O7:R7"/>
    <mergeCell ref="O8:O9"/>
    <mergeCell ref="G7:J7"/>
    <mergeCell ref="G8:G9"/>
    <mergeCell ref="H8:H9"/>
    <mergeCell ref="EN4:EQ7"/>
    <mergeCell ref="EN8:EN9"/>
    <mergeCell ref="EO8:EO9"/>
    <mergeCell ref="EQ8:EQ9"/>
    <mergeCell ref="EP8:EP9"/>
    <mergeCell ref="CP8:CQ8"/>
    <mergeCell ref="CV8:CW8"/>
    <mergeCell ref="AB8:AB9"/>
    <mergeCell ref="AA8:AA9"/>
    <mergeCell ref="BZ8:CA8"/>
    <mergeCell ref="AD8:AD9"/>
    <mergeCell ref="BX8:BY8"/>
    <mergeCell ref="CF8:CG8"/>
    <mergeCell ref="CH8:CI8"/>
    <mergeCell ref="CJ8:CK8"/>
    <mergeCell ref="AT4:AW6"/>
    <mergeCell ref="AQ8:AQ9"/>
    <mergeCell ref="AU8:AU9"/>
    <mergeCell ref="BA8:BA9"/>
    <mergeCell ref="AT8:AT9"/>
    <mergeCell ref="AV8:AV9"/>
    <mergeCell ref="AX8:AX9"/>
    <mergeCell ref="AY8:AZ8"/>
    <mergeCell ref="AW8:AW9"/>
    <mergeCell ref="AS8:AS9"/>
    <mergeCell ref="AC8:AC9"/>
    <mergeCell ref="K8:K9"/>
    <mergeCell ref="L8:L9"/>
    <mergeCell ref="M8:M9"/>
    <mergeCell ref="N8:N9"/>
    <mergeCell ref="U8:U9"/>
    <mergeCell ref="V8:V9"/>
    <mergeCell ref="R8:R9"/>
    <mergeCell ref="Z8:Z9"/>
    <mergeCell ref="Y8:Y9"/>
    <mergeCell ref="AE4:AI6"/>
    <mergeCell ref="AJ4:AM6"/>
    <mergeCell ref="AN4:AQ6"/>
    <mergeCell ref="C8:C9"/>
    <mergeCell ref="D8:D9"/>
    <mergeCell ref="C7:D7"/>
    <mergeCell ref="E7:F7"/>
    <mergeCell ref="E8:E9"/>
    <mergeCell ref="F8:F9"/>
    <mergeCell ref="T8:T9"/>
    <mergeCell ref="C4:D6"/>
    <mergeCell ref="E4:F6"/>
    <mergeCell ref="S7:V7"/>
    <mergeCell ref="AA7:AD7"/>
    <mergeCell ref="G4:J6"/>
    <mergeCell ref="AA4:AD6"/>
    <mergeCell ref="S4:V6"/>
    <mergeCell ref="W4:Z6"/>
    <mergeCell ref="W7:Z7"/>
    <mergeCell ref="BC8:BC9"/>
    <mergeCell ref="AJ7:AM7"/>
    <mergeCell ref="BV7:BW7"/>
    <mergeCell ref="AN7:AQ7"/>
    <mergeCell ref="AT7:AW7"/>
    <mergeCell ref="AO8:AO9"/>
    <mergeCell ref="BD8:BD9"/>
    <mergeCell ref="BR8:BR9"/>
    <mergeCell ref="BQ8:BQ9"/>
    <mergeCell ref="AJ8:AJ9"/>
    <mergeCell ref="BB8:BB9"/>
    <mergeCell ref="AP8:AP9"/>
    <mergeCell ref="AN8:AN9"/>
    <mergeCell ref="AM8:AM9"/>
    <mergeCell ref="AL8:AL9"/>
    <mergeCell ref="AK8:AK9"/>
    <mergeCell ref="AE8:AE9"/>
    <mergeCell ref="AI8:AI9"/>
    <mergeCell ref="AE7:AI7"/>
    <mergeCell ref="AG8:AG9"/>
    <mergeCell ref="AF8:AF9"/>
    <mergeCell ref="AH8:AH9"/>
    <mergeCell ref="AX4:BB6"/>
    <mergeCell ref="AX7:BB7"/>
    <mergeCell ref="BC7:BF7"/>
    <mergeCell ref="EL4:EM6"/>
    <mergeCell ref="EL7:EM7"/>
    <mergeCell ref="BC4:BF6"/>
    <mergeCell ref="BX7:CM7"/>
    <mergeCell ref="DR4:DS6"/>
    <mergeCell ref="DR7:DS7"/>
    <mergeCell ref="DN7:DO7"/>
    <mergeCell ref="EL8:EL9"/>
    <mergeCell ref="EM8:EM9"/>
    <mergeCell ref="BJ4:BM6"/>
    <mergeCell ref="BJ7:BM7"/>
    <mergeCell ref="BV8:BV9"/>
    <mergeCell ref="DF8:DG8"/>
    <mergeCell ref="CN8:CO8"/>
    <mergeCell ref="CL8:CM8"/>
    <mergeCell ref="CX8:CY8"/>
    <mergeCell ref="CD8:CE8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1" max="36" man="1"/>
    <brk id="143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DR2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Q10" sqref="EQ10:EQ33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1.6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879" t="s">
        <v>1</v>
      </c>
      <c r="B4" s="880" t="s">
        <v>2</v>
      </c>
      <c r="C4" s="852" t="s">
        <v>3</v>
      </c>
      <c r="D4" s="861"/>
      <c r="E4" s="852" t="s">
        <v>4</v>
      </c>
      <c r="F4" s="865"/>
      <c r="G4" s="793" t="s">
        <v>5</v>
      </c>
      <c r="H4" s="849"/>
      <c r="I4" s="849"/>
      <c r="J4" s="776"/>
      <c r="K4" s="852" t="s">
        <v>6</v>
      </c>
      <c r="L4" s="849"/>
      <c r="M4" s="849"/>
      <c r="N4" s="861"/>
      <c r="O4" s="852" t="s">
        <v>7</v>
      </c>
      <c r="P4" s="849"/>
      <c r="Q4" s="849"/>
      <c r="R4" s="861"/>
      <c r="S4" s="852" t="s">
        <v>8</v>
      </c>
      <c r="T4" s="849"/>
      <c r="U4" s="849"/>
      <c r="V4" s="861"/>
      <c r="W4" s="852" t="s">
        <v>9</v>
      </c>
      <c r="X4" s="849"/>
      <c r="Y4" s="849"/>
      <c r="Z4" s="861"/>
      <c r="AA4" s="852" t="s">
        <v>171</v>
      </c>
      <c r="AB4" s="849"/>
      <c r="AC4" s="849"/>
      <c r="AD4" s="861"/>
      <c r="AE4" s="852" t="s">
        <v>10</v>
      </c>
      <c r="AF4" s="849"/>
      <c r="AG4" s="849"/>
      <c r="AH4" s="849"/>
      <c r="AI4" s="861"/>
      <c r="AJ4" s="852" t="s">
        <v>11</v>
      </c>
      <c r="AK4" s="849"/>
      <c r="AL4" s="849"/>
      <c r="AM4" s="776"/>
      <c r="AN4" s="849" t="s">
        <v>12</v>
      </c>
      <c r="AO4" s="849"/>
      <c r="AP4" s="849"/>
      <c r="AQ4" s="849"/>
      <c r="AR4" s="7"/>
      <c r="AS4" s="7"/>
      <c r="AT4" s="849" t="s">
        <v>13</v>
      </c>
      <c r="AU4" s="849"/>
      <c r="AV4" s="849"/>
      <c r="AW4" s="849"/>
      <c r="AX4" s="849" t="s">
        <v>14</v>
      </c>
      <c r="AY4" s="849"/>
      <c r="AZ4" s="849"/>
      <c r="BA4" s="849"/>
      <c r="BB4" s="849"/>
      <c r="BC4" s="849" t="s">
        <v>15</v>
      </c>
      <c r="BD4" s="849"/>
      <c r="BE4" s="849"/>
      <c r="BF4" s="849"/>
      <c r="BG4" s="6"/>
      <c r="BH4" s="7"/>
      <c r="BI4" s="7"/>
      <c r="BJ4" s="849" t="s">
        <v>16</v>
      </c>
      <c r="BK4" s="849"/>
      <c r="BL4" s="849"/>
      <c r="BM4" s="849"/>
      <c r="BN4" s="849" t="s">
        <v>17</v>
      </c>
      <c r="BO4" s="849"/>
      <c r="BP4" s="849"/>
      <c r="BQ4" s="849"/>
      <c r="BR4" s="849"/>
      <c r="BS4" s="886" t="s">
        <v>18</v>
      </c>
      <c r="BT4" s="886"/>
      <c r="BU4" s="886"/>
      <c r="BV4" s="849" t="s">
        <v>19</v>
      </c>
      <c r="BW4" s="776"/>
      <c r="BX4" s="852" t="s">
        <v>20</v>
      </c>
      <c r="BY4" s="849"/>
      <c r="BZ4" s="849"/>
      <c r="CA4" s="849"/>
      <c r="CB4" s="849"/>
      <c r="CC4" s="849"/>
      <c r="CD4" s="849"/>
      <c r="CE4" s="849"/>
      <c r="CF4" s="849"/>
      <c r="CG4" s="849"/>
      <c r="CH4" s="849"/>
      <c r="CI4" s="849"/>
      <c r="CJ4" s="849"/>
      <c r="CK4" s="849"/>
      <c r="CL4" s="849"/>
      <c r="CM4" s="861"/>
      <c r="CN4" s="793" t="s">
        <v>21</v>
      </c>
      <c r="CO4" s="849"/>
      <c r="CP4" s="849"/>
      <c r="CQ4" s="849"/>
      <c r="CR4" s="849"/>
      <c r="CS4" s="849"/>
      <c r="CT4" s="849"/>
      <c r="CU4" s="849"/>
      <c r="CV4" s="849"/>
      <c r="CW4" s="849"/>
      <c r="CX4" s="849"/>
      <c r="CY4" s="849"/>
      <c r="CZ4" s="849"/>
      <c r="DA4" s="849"/>
      <c r="DB4" s="849"/>
      <c r="DC4" s="776"/>
      <c r="DD4" s="852" t="s">
        <v>22</v>
      </c>
      <c r="DE4" s="849"/>
      <c r="DF4" s="849"/>
      <c r="DG4" s="849"/>
      <c r="DH4" s="849"/>
      <c r="DI4" s="849"/>
      <c r="DJ4" s="849"/>
      <c r="DK4" s="849"/>
      <c r="DL4" s="849"/>
      <c r="DM4" s="849"/>
      <c r="DN4" s="849"/>
      <c r="DO4" s="861"/>
      <c r="DP4" s="852" t="s">
        <v>23</v>
      </c>
      <c r="DQ4" s="861"/>
      <c r="DR4" s="852" t="s">
        <v>24</v>
      </c>
      <c r="DS4" s="861"/>
      <c r="DT4" s="793" t="s">
        <v>25</v>
      </c>
      <c r="DU4" s="776"/>
      <c r="DV4" s="849" t="s">
        <v>26</v>
      </c>
      <c r="DW4" s="849"/>
      <c r="DX4" s="861"/>
      <c r="DY4" s="852" t="s">
        <v>27</v>
      </c>
      <c r="DZ4" s="849"/>
      <c r="EA4" s="861"/>
      <c r="EB4" s="793" t="s">
        <v>28</v>
      </c>
      <c r="EC4" s="849"/>
      <c r="ED4" s="849"/>
      <c r="EE4" s="849" t="s">
        <v>29</v>
      </c>
      <c r="EF4" s="849"/>
      <c r="EG4" s="849"/>
      <c r="EH4" s="849" t="s">
        <v>30</v>
      </c>
      <c r="EI4" s="849"/>
      <c r="EJ4" s="776"/>
      <c r="EK4" s="852" t="s">
        <v>31</v>
      </c>
      <c r="EL4" s="849"/>
      <c r="EM4" s="861"/>
      <c r="EN4" s="787" t="s">
        <v>160</v>
      </c>
      <c r="EO4" s="788"/>
      <c r="EP4" s="852" t="s">
        <v>32</v>
      </c>
      <c r="EQ4" s="849"/>
      <c r="ER4" s="849"/>
      <c r="ES4" s="861"/>
    </row>
    <row r="5" spans="1:149" s="11" customFormat="1" ht="15.75">
      <c r="A5" s="866"/>
      <c r="B5" s="881"/>
      <c r="C5" s="862"/>
      <c r="D5" s="863"/>
      <c r="E5" s="866"/>
      <c r="F5" s="867"/>
      <c r="G5" s="769"/>
      <c r="H5" s="850"/>
      <c r="I5" s="850"/>
      <c r="J5" s="770"/>
      <c r="K5" s="862"/>
      <c r="L5" s="850"/>
      <c r="M5" s="850"/>
      <c r="N5" s="863"/>
      <c r="O5" s="862"/>
      <c r="P5" s="850"/>
      <c r="Q5" s="850"/>
      <c r="R5" s="863"/>
      <c r="S5" s="862"/>
      <c r="T5" s="850"/>
      <c r="U5" s="850"/>
      <c r="V5" s="863"/>
      <c r="W5" s="862"/>
      <c r="X5" s="850"/>
      <c r="Y5" s="850"/>
      <c r="Z5" s="863"/>
      <c r="AA5" s="862"/>
      <c r="AB5" s="850"/>
      <c r="AC5" s="850"/>
      <c r="AD5" s="863"/>
      <c r="AE5" s="862"/>
      <c r="AF5" s="850"/>
      <c r="AG5" s="850"/>
      <c r="AH5" s="850"/>
      <c r="AI5" s="863"/>
      <c r="AJ5" s="862"/>
      <c r="AK5" s="850"/>
      <c r="AL5" s="850"/>
      <c r="AM5" s="770"/>
      <c r="AN5" s="850"/>
      <c r="AO5" s="850"/>
      <c r="AP5" s="850"/>
      <c r="AQ5" s="850"/>
      <c r="AR5" s="10"/>
      <c r="AS5" s="10"/>
      <c r="AT5" s="850"/>
      <c r="AU5" s="850"/>
      <c r="AV5" s="850"/>
      <c r="AW5" s="850"/>
      <c r="AX5" s="850"/>
      <c r="AY5" s="850"/>
      <c r="AZ5" s="850"/>
      <c r="BA5" s="850"/>
      <c r="BB5" s="850"/>
      <c r="BC5" s="850"/>
      <c r="BD5" s="850"/>
      <c r="BE5" s="850"/>
      <c r="BF5" s="850"/>
      <c r="BG5" s="9"/>
      <c r="BH5" s="10"/>
      <c r="BI5" s="10"/>
      <c r="BJ5" s="850"/>
      <c r="BK5" s="850"/>
      <c r="BL5" s="850"/>
      <c r="BM5" s="850"/>
      <c r="BN5" s="850"/>
      <c r="BO5" s="850"/>
      <c r="BP5" s="850"/>
      <c r="BQ5" s="850"/>
      <c r="BR5" s="850"/>
      <c r="BS5" s="887"/>
      <c r="BT5" s="887"/>
      <c r="BU5" s="887"/>
      <c r="BV5" s="850"/>
      <c r="BW5" s="770"/>
      <c r="BX5" s="862"/>
      <c r="BY5" s="850"/>
      <c r="BZ5" s="850"/>
      <c r="CA5" s="850"/>
      <c r="CB5" s="850"/>
      <c r="CC5" s="850"/>
      <c r="CD5" s="850"/>
      <c r="CE5" s="850"/>
      <c r="CF5" s="850"/>
      <c r="CG5" s="850"/>
      <c r="CH5" s="850"/>
      <c r="CI5" s="850"/>
      <c r="CJ5" s="850"/>
      <c r="CK5" s="850"/>
      <c r="CL5" s="850"/>
      <c r="CM5" s="863"/>
      <c r="CN5" s="769"/>
      <c r="CO5" s="850"/>
      <c r="CP5" s="850"/>
      <c r="CQ5" s="850"/>
      <c r="CR5" s="850"/>
      <c r="CS5" s="850"/>
      <c r="CT5" s="850"/>
      <c r="CU5" s="850"/>
      <c r="CV5" s="850"/>
      <c r="CW5" s="850"/>
      <c r="CX5" s="850"/>
      <c r="CY5" s="850"/>
      <c r="CZ5" s="850"/>
      <c r="DA5" s="850"/>
      <c r="DB5" s="850"/>
      <c r="DC5" s="770"/>
      <c r="DD5" s="862"/>
      <c r="DE5" s="850"/>
      <c r="DF5" s="850"/>
      <c r="DG5" s="850"/>
      <c r="DH5" s="850"/>
      <c r="DI5" s="850"/>
      <c r="DJ5" s="850"/>
      <c r="DK5" s="850"/>
      <c r="DL5" s="850"/>
      <c r="DM5" s="850"/>
      <c r="DN5" s="850"/>
      <c r="DO5" s="863"/>
      <c r="DP5" s="862"/>
      <c r="DQ5" s="863"/>
      <c r="DR5" s="862"/>
      <c r="DS5" s="863"/>
      <c r="DT5" s="769"/>
      <c r="DU5" s="770"/>
      <c r="DV5" s="850"/>
      <c r="DW5" s="850"/>
      <c r="DX5" s="863"/>
      <c r="DY5" s="862"/>
      <c r="DZ5" s="850"/>
      <c r="EA5" s="863"/>
      <c r="EB5" s="769"/>
      <c r="EC5" s="850"/>
      <c r="ED5" s="850"/>
      <c r="EE5" s="850"/>
      <c r="EF5" s="850"/>
      <c r="EG5" s="850"/>
      <c r="EH5" s="850"/>
      <c r="EI5" s="850"/>
      <c r="EJ5" s="770"/>
      <c r="EK5" s="862"/>
      <c r="EL5" s="850"/>
      <c r="EM5" s="863"/>
      <c r="EN5" s="789"/>
      <c r="EO5" s="790"/>
      <c r="EP5" s="862"/>
      <c r="EQ5" s="850"/>
      <c r="ER5" s="850"/>
      <c r="ES5" s="863"/>
    </row>
    <row r="6" spans="1:149" s="16" customFormat="1" ht="153" customHeight="1" thickBot="1">
      <c r="A6" s="866"/>
      <c r="B6" s="881"/>
      <c r="C6" s="853"/>
      <c r="D6" s="864"/>
      <c r="E6" s="868"/>
      <c r="F6" s="869"/>
      <c r="G6" s="771"/>
      <c r="H6" s="851"/>
      <c r="I6" s="851"/>
      <c r="J6" s="772"/>
      <c r="K6" s="853"/>
      <c r="L6" s="851"/>
      <c r="M6" s="851"/>
      <c r="N6" s="864"/>
      <c r="O6" s="853"/>
      <c r="P6" s="851"/>
      <c r="Q6" s="851"/>
      <c r="R6" s="864"/>
      <c r="S6" s="853"/>
      <c r="T6" s="851"/>
      <c r="U6" s="851"/>
      <c r="V6" s="864"/>
      <c r="W6" s="853"/>
      <c r="X6" s="851"/>
      <c r="Y6" s="851"/>
      <c r="Z6" s="864"/>
      <c r="AA6" s="853"/>
      <c r="AB6" s="851"/>
      <c r="AC6" s="851"/>
      <c r="AD6" s="864"/>
      <c r="AE6" s="853"/>
      <c r="AF6" s="851"/>
      <c r="AG6" s="851"/>
      <c r="AH6" s="851"/>
      <c r="AI6" s="864"/>
      <c r="AJ6" s="853"/>
      <c r="AK6" s="851"/>
      <c r="AL6" s="851"/>
      <c r="AM6" s="772"/>
      <c r="AN6" s="851"/>
      <c r="AO6" s="851"/>
      <c r="AP6" s="851"/>
      <c r="AQ6" s="851"/>
      <c r="AR6" s="15"/>
      <c r="AS6" s="15"/>
      <c r="AT6" s="851"/>
      <c r="AU6" s="851"/>
      <c r="AV6" s="851"/>
      <c r="AW6" s="851"/>
      <c r="AX6" s="851"/>
      <c r="AY6" s="851"/>
      <c r="AZ6" s="851"/>
      <c r="BA6" s="851"/>
      <c r="BB6" s="851"/>
      <c r="BC6" s="851"/>
      <c r="BD6" s="851"/>
      <c r="BE6" s="851"/>
      <c r="BF6" s="851"/>
      <c r="BG6" s="14"/>
      <c r="BH6" s="15"/>
      <c r="BI6" s="15"/>
      <c r="BJ6" s="851"/>
      <c r="BK6" s="851"/>
      <c r="BL6" s="851"/>
      <c r="BM6" s="851"/>
      <c r="BN6" s="851"/>
      <c r="BO6" s="851"/>
      <c r="BP6" s="851"/>
      <c r="BQ6" s="851"/>
      <c r="BR6" s="851"/>
      <c r="BS6" s="888"/>
      <c r="BT6" s="888"/>
      <c r="BU6" s="888"/>
      <c r="BV6" s="851"/>
      <c r="BW6" s="772"/>
      <c r="BX6" s="853"/>
      <c r="BY6" s="851"/>
      <c r="BZ6" s="851"/>
      <c r="CA6" s="851"/>
      <c r="CB6" s="851"/>
      <c r="CC6" s="851"/>
      <c r="CD6" s="851"/>
      <c r="CE6" s="851"/>
      <c r="CF6" s="851"/>
      <c r="CG6" s="851"/>
      <c r="CH6" s="851"/>
      <c r="CI6" s="851"/>
      <c r="CJ6" s="851"/>
      <c r="CK6" s="851"/>
      <c r="CL6" s="851"/>
      <c r="CM6" s="864"/>
      <c r="CN6" s="771"/>
      <c r="CO6" s="851"/>
      <c r="CP6" s="851"/>
      <c r="CQ6" s="851"/>
      <c r="CR6" s="851"/>
      <c r="CS6" s="851"/>
      <c r="CT6" s="851"/>
      <c r="CU6" s="851"/>
      <c r="CV6" s="851"/>
      <c r="CW6" s="851"/>
      <c r="CX6" s="851"/>
      <c r="CY6" s="851"/>
      <c r="CZ6" s="851"/>
      <c r="DA6" s="851"/>
      <c r="DB6" s="851"/>
      <c r="DC6" s="772"/>
      <c r="DD6" s="853"/>
      <c r="DE6" s="851"/>
      <c r="DF6" s="851"/>
      <c r="DG6" s="851"/>
      <c r="DH6" s="851"/>
      <c r="DI6" s="851"/>
      <c r="DJ6" s="851"/>
      <c r="DK6" s="851"/>
      <c r="DL6" s="851"/>
      <c r="DM6" s="851"/>
      <c r="DN6" s="851"/>
      <c r="DO6" s="864"/>
      <c r="DP6" s="853"/>
      <c r="DQ6" s="864"/>
      <c r="DR6" s="853"/>
      <c r="DS6" s="864"/>
      <c r="DT6" s="771"/>
      <c r="DU6" s="772"/>
      <c r="DV6" s="851"/>
      <c r="DW6" s="851"/>
      <c r="DX6" s="864"/>
      <c r="DY6" s="853"/>
      <c r="DZ6" s="851"/>
      <c r="EA6" s="864"/>
      <c r="EB6" s="771"/>
      <c r="EC6" s="851"/>
      <c r="ED6" s="851"/>
      <c r="EE6" s="851"/>
      <c r="EF6" s="851"/>
      <c r="EG6" s="851"/>
      <c r="EH6" s="851"/>
      <c r="EI6" s="851"/>
      <c r="EJ6" s="772"/>
      <c r="EK6" s="853"/>
      <c r="EL6" s="851"/>
      <c r="EM6" s="864"/>
      <c r="EN6" s="777"/>
      <c r="EO6" s="778"/>
      <c r="EP6" s="862"/>
      <c r="EQ6" s="850"/>
      <c r="ER6" s="850"/>
      <c r="ES6" s="863"/>
    </row>
    <row r="7" spans="1:149" s="16" customFormat="1" ht="16.5" thickBot="1">
      <c r="A7" s="866"/>
      <c r="B7" s="881"/>
      <c r="C7" s="933" t="s">
        <v>33</v>
      </c>
      <c r="D7" s="935"/>
      <c r="E7" s="933" t="s">
        <v>34</v>
      </c>
      <c r="F7" s="935"/>
      <c r="G7" s="936" t="s">
        <v>35</v>
      </c>
      <c r="H7" s="934"/>
      <c r="I7" s="934"/>
      <c r="J7" s="937"/>
      <c r="K7" s="933" t="s">
        <v>36</v>
      </c>
      <c r="L7" s="934"/>
      <c r="M7" s="934"/>
      <c r="N7" s="935"/>
      <c r="O7" s="933" t="s">
        <v>37</v>
      </c>
      <c r="P7" s="934"/>
      <c r="Q7" s="934"/>
      <c r="R7" s="935"/>
      <c r="S7" s="933" t="s">
        <v>38</v>
      </c>
      <c r="T7" s="934"/>
      <c r="U7" s="934"/>
      <c r="V7" s="935"/>
      <c r="W7" s="933" t="s">
        <v>39</v>
      </c>
      <c r="X7" s="934"/>
      <c r="Y7" s="934"/>
      <c r="Z7" s="935"/>
      <c r="AA7" s="933" t="s">
        <v>40</v>
      </c>
      <c r="AB7" s="934"/>
      <c r="AC7" s="934"/>
      <c r="AD7" s="935"/>
      <c r="AE7" s="933" t="s">
        <v>41</v>
      </c>
      <c r="AF7" s="934"/>
      <c r="AG7" s="934"/>
      <c r="AH7" s="934"/>
      <c r="AI7" s="935"/>
      <c r="AJ7" s="933" t="s">
        <v>42</v>
      </c>
      <c r="AK7" s="934"/>
      <c r="AL7" s="934"/>
      <c r="AM7" s="937"/>
      <c r="AN7" s="934" t="s">
        <v>43</v>
      </c>
      <c r="AO7" s="934"/>
      <c r="AP7" s="934"/>
      <c r="AQ7" s="934"/>
      <c r="AR7" s="376"/>
      <c r="AS7" s="376"/>
      <c r="AT7" s="934" t="s">
        <v>44</v>
      </c>
      <c r="AU7" s="934"/>
      <c r="AV7" s="934"/>
      <c r="AW7" s="934"/>
      <c r="AX7" s="934" t="s">
        <v>45</v>
      </c>
      <c r="AY7" s="934"/>
      <c r="AZ7" s="934"/>
      <c r="BA7" s="934"/>
      <c r="BB7" s="934"/>
      <c r="BC7" s="934" t="s">
        <v>46</v>
      </c>
      <c r="BD7" s="934"/>
      <c r="BE7" s="934"/>
      <c r="BF7" s="934"/>
      <c r="BG7" s="375"/>
      <c r="BH7" s="376"/>
      <c r="BI7" s="376"/>
      <c r="BJ7" s="934" t="s">
        <v>47</v>
      </c>
      <c r="BK7" s="934"/>
      <c r="BL7" s="934"/>
      <c r="BM7" s="934"/>
      <c r="BN7" s="934" t="s">
        <v>48</v>
      </c>
      <c r="BO7" s="934"/>
      <c r="BP7" s="934"/>
      <c r="BQ7" s="934"/>
      <c r="BR7" s="934"/>
      <c r="BS7" s="934" t="s">
        <v>49</v>
      </c>
      <c r="BT7" s="934"/>
      <c r="BU7" s="934"/>
      <c r="BV7" s="934" t="s">
        <v>50</v>
      </c>
      <c r="BW7" s="937"/>
      <c r="BX7" s="933" t="s">
        <v>51</v>
      </c>
      <c r="BY7" s="934"/>
      <c r="BZ7" s="934"/>
      <c r="CA7" s="934"/>
      <c r="CB7" s="934"/>
      <c r="CC7" s="934"/>
      <c r="CD7" s="934"/>
      <c r="CE7" s="934"/>
      <c r="CF7" s="934"/>
      <c r="CG7" s="934"/>
      <c r="CH7" s="934"/>
      <c r="CI7" s="934"/>
      <c r="CJ7" s="934"/>
      <c r="CK7" s="934"/>
      <c r="CL7" s="934"/>
      <c r="CM7" s="935"/>
      <c r="CN7" s="936" t="s">
        <v>52</v>
      </c>
      <c r="CO7" s="934"/>
      <c r="CP7" s="934"/>
      <c r="CQ7" s="934"/>
      <c r="CR7" s="934"/>
      <c r="CS7" s="934"/>
      <c r="CT7" s="934"/>
      <c r="CU7" s="934"/>
      <c r="CV7" s="934"/>
      <c r="CW7" s="934"/>
      <c r="CX7" s="934"/>
      <c r="CY7" s="934"/>
      <c r="CZ7" s="934"/>
      <c r="DA7" s="934"/>
      <c r="DB7" s="934"/>
      <c r="DC7" s="937"/>
      <c r="DD7" s="933" t="s">
        <v>53</v>
      </c>
      <c r="DE7" s="934"/>
      <c r="DF7" s="934"/>
      <c r="DG7" s="934"/>
      <c r="DH7" s="934"/>
      <c r="DI7" s="934"/>
      <c r="DJ7" s="934"/>
      <c r="DK7" s="934"/>
      <c r="DL7" s="934"/>
      <c r="DM7" s="934"/>
      <c r="DN7" s="934"/>
      <c r="DO7" s="935"/>
      <c r="DP7" s="933" t="s">
        <v>54</v>
      </c>
      <c r="DQ7" s="935"/>
      <c r="DR7" s="933" t="s">
        <v>55</v>
      </c>
      <c r="DS7" s="935"/>
      <c r="DT7" s="936" t="s">
        <v>56</v>
      </c>
      <c r="DU7" s="937"/>
      <c r="DV7" s="934" t="s">
        <v>57</v>
      </c>
      <c r="DW7" s="934"/>
      <c r="DX7" s="935"/>
      <c r="DY7" s="933" t="s">
        <v>58</v>
      </c>
      <c r="DZ7" s="934"/>
      <c r="EA7" s="935"/>
      <c r="EB7" s="936" t="s">
        <v>59</v>
      </c>
      <c r="EC7" s="934"/>
      <c r="ED7" s="934"/>
      <c r="EE7" s="934" t="s">
        <v>60</v>
      </c>
      <c r="EF7" s="934"/>
      <c r="EG7" s="934"/>
      <c r="EH7" s="934" t="s">
        <v>61</v>
      </c>
      <c r="EI7" s="934"/>
      <c r="EJ7" s="937"/>
      <c r="EK7" s="933" t="s">
        <v>63</v>
      </c>
      <c r="EL7" s="934"/>
      <c r="EM7" s="935"/>
      <c r="EN7" s="779" t="s">
        <v>62</v>
      </c>
      <c r="EO7" s="780"/>
      <c r="EP7" s="853"/>
      <c r="EQ7" s="851"/>
      <c r="ER7" s="851"/>
      <c r="ES7" s="864"/>
    </row>
    <row r="8" spans="1:154" s="16" customFormat="1" ht="111.75" customHeight="1" thickBot="1">
      <c r="A8" s="866"/>
      <c r="B8" s="881"/>
      <c r="C8" s="852" t="s">
        <v>64</v>
      </c>
      <c r="D8" s="854" t="s">
        <v>65</v>
      </c>
      <c r="E8" s="852" t="s">
        <v>64</v>
      </c>
      <c r="F8" s="854" t="s">
        <v>65</v>
      </c>
      <c r="G8" s="793" t="s">
        <v>66</v>
      </c>
      <c r="H8" s="849" t="s">
        <v>67</v>
      </c>
      <c r="I8" s="849" t="s">
        <v>64</v>
      </c>
      <c r="J8" s="857" t="s">
        <v>65</v>
      </c>
      <c r="K8" s="852" t="s">
        <v>67</v>
      </c>
      <c r="L8" s="849" t="s">
        <v>68</v>
      </c>
      <c r="M8" s="849" t="s">
        <v>64</v>
      </c>
      <c r="N8" s="854" t="s">
        <v>65</v>
      </c>
      <c r="O8" s="852" t="s">
        <v>67</v>
      </c>
      <c r="P8" s="849" t="s">
        <v>69</v>
      </c>
      <c r="Q8" s="849" t="s">
        <v>64</v>
      </c>
      <c r="R8" s="854" t="s">
        <v>65</v>
      </c>
      <c r="S8" s="852" t="s">
        <v>70</v>
      </c>
      <c r="T8" s="849" t="s">
        <v>71</v>
      </c>
      <c r="U8" s="849" t="s">
        <v>64</v>
      </c>
      <c r="V8" s="854" t="s">
        <v>65</v>
      </c>
      <c r="W8" s="852" t="s">
        <v>72</v>
      </c>
      <c r="X8" s="849" t="s">
        <v>73</v>
      </c>
      <c r="Y8" s="849" t="s">
        <v>64</v>
      </c>
      <c r="Z8" s="854" t="s">
        <v>65</v>
      </c>
      <c r="AA8" s="852" t="s">
        <v>74</v>
      </c>
      <c r="AB8" s="849" t="s">
        <v>75</v>
      </c>
      <c r="AC8" s="849" t="s">
        <v>64</v>
      </c>
      <c r="AD8" s="854" t="s">
        <v>65</v>
      </c>
      <c r="AE8" s="852" t="s">
        <v>76</v>
      </c>
      <c r="AF8" s="849" t="s">
        <v>77</v>
      </c>
      <c r="AG8" s="849" t="s">
        <v>78</v>
      </c>
      <c r="AH8" s="849" t="s">
        <v>64</v>
      </c>
      <c r="AI8" s="854" t="s">
        <v>65</v>
      </c>
      <c r="AJ8" s="852" t="s">
        <v>154</v>
      </c>
      <c r="AK8" s="849" t="s">
        <v>155</v>
      </c>
      <c r="AL8" s="849" t="s">
        <v>64</v>
      </c>
      <c r="AM8" s="857" t="s">
        <v>65</v>
      </c>
      <c r="AN8" s="849" t="s">
        <v>79</v>
      </c>
      <c r="AO8" s="849" t="s">
        <v>80</v>
      </c>
      <c r="AP8" s="849" t="s">
        <v>64</v>
      </c>
      <c r="AQ8" s="939" t="s">
        <v>81</v>
      </c>
      <c r="AR8" s="21"/>
      <c r="AS8" s="871" t="s">
        <v>82</v>
      </c>
      <c r="AT8" s="849" t="s">
        <v>82</v>
      </c>
      <c r="AU8" s="849" t="s">
        <v>83</v>
      </c>
      <c r="AV8" s="849" t="s">
        <v>64</v>
      </c>
      <c r="AW8" s="939" t="s">
        <v>65</v>
      </c>
      <c r="AX8" s="849" t="s">
        <v>84</v>
      </c>
      <c r="AY8" s="849" t="s">
        <v>85</v>
      </c>
      <c r="AZ8" s="849"/>
      <c r="BA8" s="849" t="s">
        <v>86</v>
      </c>
      <c r="BB8" s="849" t="s">
        <v>87</v>
      </c>
      <c r="BC8" s="873" t="s">
        <v>88</v>
      </c>
      <c r="BD8" s="873" t="s">
        <v>89</v>
      </c>
      <c r="BE8" s="849" t="s">
        <v>64</v>
      </c>
      <c r="BF8" s="939" t="s">
        <v>65</v>
      </c>
      <c r="BG8" s="21"/>
      <c r="BH8" s="21"/>
      <c r="BI8" s="21"/>
      <c r="BJ8" s="849" t="s">
        <v>90</v>
      </c>
      <c r="BK8" s="849" t="s">
        <v>91</v>
      </c>
      <c r="BL8" s="849" t="s">
        <v>64</v>
      </c>
      <c r="BM8" s="939" t="s">
        <v>65</v>
      </c>
      <c r="BN8" s="849" t="s">
        <v>92</v>
      </c>
      <c r="BO8" s="849" t="s">
        <v>93</v>
      </c>
      <c r="BP8" s="849" t="s">
        <v>94</v>
      </c>
      <c r="BQ8" s="849" t="s">
        <v>64</v>
      </c>
      <c r="BR8" s="939" t="s">
        <v>65</v>
      </c>
      <c r="BS8" s="849" t="s">
        <v>95</v>
      </c>
      <c r="BT8" s="849" t="s">
        <v>64</v>
      </c>
      <c r="BU8" s="939" t="s">
        <v>65</v>
      </c>
      <c r="BV8" s="849" t="s">
        <v>64</v>
      </c>
      <c r="BW8" s="854" t="s">
        <v>65</v>
      </c>
      <c r="BX8" s="933" t="s">
        <v>96</v>
      </c>
      <c r="BY8" s="934"/>
      <c r="BZ8" s="934" t="s">
        <v>156</v>
      </c>
      <c r="CA8" s="934"/>
      <c r="CB8" s="937" t="s">
        <v>97</v>
      </c>
      <c r="CC8" s="936"/>
      <c r="CD8" s="934" t="s">
        <v>151</v>
      </c>
      <c r="CE8" s="934"/>
      <c r="CF8" s="934" t="s">
        <v>161</v>
      </c>
      <c r="CG8" s="934"/>
      <c r="CH8" s="941"/>
      <c r="CI8" s="941"/>
      <c r="CJ8" s="934" t="s">
        <v>98</v>
      </c>
      <c r="CK8" s="934"/>
      <c r="CL8" s="934" t="s">
        <v>105</v>
      </c>
      <c r="CM8" s="935"/>
      <c r="CN8" s="936" t="s">
        <v>99</v>
      </c>
      <c r="CO8" s="934"/>
      <c r="CP8" s="938" t="s">
        <v>152</v>
      </c>
      <c r="CQ8" s="938"/>
      <c r="CR8" s="934" t="s">
        <v>157</v>
      </c>
      <c r="CS8" s="934"/>
      <c r="CT8" s="934" t="s">
        <v>153</v>
      </c>
      <c r="CU8" s="934"/>
      <c r="CV8" s="934" t="s">
        <v>162</v>
      </c>
      <c r="CW8" s="934"/>
      <c r="CX8" s="934" t="s">
        <v>100</v>
      </c>
      <c r="CY8" s="934"/>
      <c r="CZ8" s="934" t="s">
        <v>101</v>
      </c>
      <c r="DA8" s="934"/>
      <c r="DB8" s="934" t="s">
        <v>105</v>
      </c>
      <c r="DC8" s="937"/>
      <c r="DD8" s="933" t="s">
        <v>158</v>
      </c>
      <c r="DE8" s="934"/>
      <c r="DF8" s="934" t="s">
        <v>102</v>
      </c>
      <c r="DG8" s="934"/>
      <c r="DH8" s="934" t="s">
        <v>103</v>
      </c>
      <c r="DI8" s="934"/>
      <c r="DJ8" s="934" t="s">
        <v>159</v>
      </c>
      <c r="DK8" s="934"/>
      <c r="DL8" s="934" t="s">
        <v>104</v>
      </c>
      <c r="DM8" s="934"/>
      <c r="DN8" s="934" t="s">
        <v>105</v>
      </c>
      <c r="DO8" s="935"/>
      <c r="DP8" s="883" t="s">
        <v>64</v>
      </c>
      <c r="DQ8" s="883" t="s">
        <v>65</v>
      </c>
      <c r="DR8" s="852" t="s">
        <v>64</v>
      </c>
      <c r="DS8" s="861" t="s">
        <v>65</v>
      </c>
      <c r="DT8" s="793" t="s">
        <v>64</v>
      </c>
      <c r="DU8" s="776" t="s">
        <v>65</v>
      </c>
      <c r="DV8" s="849" t="s">
        <v>106</v>
      </c>
      <c r="DW8" s="849" t="s">
        <v>64</v>
      </c>
      <c r="DX8" s="861" t="s">
        <v>65</v>
      </c>
      <c r="DY8" s="852" t="s">
        <v>106</v>
      </c>
      <c r="DZ8" s="849" t="s">
        <v>64</v>
      </c>
      <c r="EA8" s="861" t="s">
        <v>65</v>
      </c>
      <c r="EB8" s="793" t="s">
        <v>106</v>
      </c>
      <c r="EC8" s="849" t="s">
        <v>64</v>
      </c>
      <c r="ED8" s="849" t="s">
        <v>65</v>
      </c>
      <c r="EE8" s="849" t="s">
        <v>106</v>
      </c>
      <c r="EF8" s="849" t="s">
        <v>64</v>
      </c>
      <c r="EG8" s="849" t="s">
        <v>65</v>
      </c>
      <c r="EH8" s="849" t="s">
        <v>106</v>
      </c>
      <c r="EI8" s="776" t="s">
        <v>64</v>
      </c>
      <c r="EJ8" s="883" t="s">
        <v>65</v>
      </c>
      <c r="EK8" s="895" t="s">
        <v>106</v>
      </c>
      <c r="EL8" s="876" t="s">
        <v>64</v>
      </c>
      <c r="EM8" s="898" t="s">
        <v>65</v>
      </c>
      <c r="EN8" s="845" t="s">
        <v>64</v>
      </c>
      <c r="EO8" s="847" t="s">
        <v>65</v>
      </c>
      <c r="EP8" s="852" t="s">
        <v>107</v>
      </c>
      <c r="EQ8" s="849" t="s">
        <v>108</v>
      </c>
      <c r="ER8" s="849" t="s">
        <v>109</v>
      </c>
      <c r="ES8" s="861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868"/>
      <c r="B9" s="882"/>
      <c r="C9" s="853"/>
      <c r="D9" s="855"/>
      <c r="E9" s="853"/>
      <c r="F9" s="855"/>
      <c r="G9" s="771"/>
      <c r="H9" s="851"/>
      <c r="I9" s="851"/>
      <c r="J9" s="858"/>
      <c r="K9" s="853"/>
      <c r="L9" s="851"/>
      <c r="M9" s="851"/>
      <c r="N9" s="855"/>
      <c r="O9" s="853"/>
      <c r="P9" s="851"/>
      <c r="Q9" s="851"/>
      <c r="R9" s="855"/>
      <c r="S9" s="853"/>
      <c r="T9" s="851"/>
      <c r="U9" s="851"/>
      <c r="V9" s="855"/>
      <c r="W9" s="853"/>
      <c r="X9" s="851"/>
      <c r="Y9" s="851"/>
      <c r="Z9" s="855"/>
      <c r="AA9" s="853"/>
      <c r="AB9" s="851"/>
      <c r="AC9" s="851"/>
      <c r="AD9" s="855"/>
      <c r="AE9" s="853"/>
      <c r="AF9" s="851"/>
      <c r="AG9" s="851"/>
      <c r="AH9" s="851"/>
      <c r="AI9" s="855"/>
      <c r="AJ9" s="853"/>
      <c r="AK9" s="851"/>
      <c r="AL9" s="851"/>
      <c r="AM9" s="858"/>
      <c r="AN9" s="851"/>
      <c r="AO9" s="851"/>
      <c r="AP9" s="851"/>
      <c r="AQ9" s="940"/>
      <c r="AR9" s="23"/>
      <c r="AS9" s="872"/>
      <c r="AT9" s="851"/>
      <c r="AU9" s="851"/>
      <c r="AV9" s="851"/>
      <c r="AW9" s="940"/>
      <c r="AX9" s="851"/>
      <c r="AY9" s="14" t="s">
        <v>111</v>
      </c>
      <c r="AZ9" s="14" t="s">
        <v>112</v>
      </c>
      <c r="BA9" s="851"/>
      <c r="BB9" s="851"/>
      <c r="BC9" s="942"/>
      <c r="BD9" s="942"/>
      <c r="BE9" s="851"/>
      <c r="BF9" s="940"/>
      <c r="BG9" s="23"/>
      <c r="BH9" s="23"/>
      <c r="BI9" s="23"/>
      <c r="BJ9" s="851"/>
      <c r="BK9" s="851"/>
      <c r="BL9" s="851"/>
      <c r="BM9" s="940"/>
      <c r="BN9" s="851"/>
      <c r="BO9" s="851"/>
      <c r="BP9" s="851"/>
      <c r="BQ9" s="851"/>
      <c r="BR9" s="940"/>
      <c r="BS9" s="851"/>
      <c r="BT9" s="851"/>
      <c r="BU9" s="940"/>
      <c r="BV9" s="851"/>
      <c r="BW9" s="855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884"/>
      <c r="DQ9" s="884"/>
      <c r="DR9" s="853"/>
      <c r="DS9" s="864"/>
      <c r="DT9" s="771"/>
      <c r="DU9" s="772"/>
      <c r="DV9" s="851"/>
      <c r="DW9" s="851"/>
      <c r="DX9" s="864"/>
      <c r="DY9" s="853"/>
      <c r="DZ9" s="851"/>
      <c r="EA9" s="864"/>
      <c r="EB9" s="771"/>
      <c r="EC9" s="851"/>
      <c r="ED9" s="851"/>
      <c r="EE9" s="851"/>
      <c r="EF9" s="851"/>
      <c r="EG9" s="851"/>
      <c r="EH9" s="851"/>
      <c r="EI9" s="772"/>
      <c r="EJ9" s="884"/>
      <c r="EK9" s="896"/>
      <c r="EL9" s="897"/>
      <c r="EM9" s="899"/>
      <c r="EN9" s="846"/>
      <c r="EO9" s="848"/>
      <c r="EP9" s="853"/>
      <c r="EQ9" s="851"/>
      <c r="ER9" s="851"/>
      <c r="ES9" s="864"/>
    </row>
    <row r="10" spans="1:154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37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6">
        <v>1904.6</v>
      </c>
      <c r="AO10" s="36">
        <v>2639.7</v>
      </c>
      <c r="AP10" s="26">
        <f aca="true" t="shared" si="10" ref="AP10:AP34">AN10*100%/AO10</f>
        <v>0.7215213850058719</v>
      </c>
      <c r="AQ10" s="381">
        <v>1</v>
      </c>
      <c r="AR10" s="38">
        <f>AT10*100/AT47</f>
        <v>1.9302344602746584</v>
      </c>
      <c r="AS10" s="143">
        <v>7386.63</v>
      </c>
      <c r="AT10" s="36">
        <v>7386.6</v>
      </c>
      <c r="AU10" s="36">
        <v>3747.6</v>
      </c>
      <c r="AV10" s="26">
        <f aca="true" t="shared" si="11" ref="AV10:AV34">AU10*100%/AS10</f>
        <v>0.5073490888267045</v>
      </c>
      <c r="AW10" s="35">
        <v>0.8</v>
      </c>
      <c r="AX10" s="36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35">
        <v>0</v>
      </c>
      <c r="BB10" s="35">
        <v>1</v>
      </c>
      <c r="BC10" s="382">
        <v>2713</v>
      </c>
      <c r="BD10" s="36">
        <f>AT10*1000/BC10</f>
        <v>2722.6686325101364</v>
      </c>
      <c r="BE10" s="26">
        <f>BD10/BD50*100%</f>
        <v>0.7129416672550034</v>
      </c>
      <c r="BF10" s="35">
        <v>0.7</v>
      </c>
      <c r="BG10" s="35">
        <f>BD10*100/BD47</f>
        <v>71.29416672550035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6">
        <f>1500492.18/1000</f>
        <v>1500.49218</v>
      </c>
      <c r="BK10" s="36">
        <f aca="true" t="shared" si="16" ref="BK10:BK34">BJ10*1000/BC10</f>
        <v>553.0748912642831</v>
      </c>
      <c r="BL10" s="26">
        <f>BK10/BK50*100%</f>
        <v>0.8204701553404986</v>
      </c>
      <c r="BM10" s="35">
        <v>0</v>
      </c>
      <c r="BN10" s="42">
        <v>505.4</v>
      </c>
      <c r="BO10" s="40">
        <v>151.51</v>
      </c>
      <c r="BP10" s="26">
        <f aca="true" t="shared" si="17" ref="BP10:BP15">BO10/(BN10+BO10)</f>
        <v>0.23064042258452452</v>
      </c>
      <c r="BQ10" s="372">
        <v>1</v>
      </c>
      <c r="BR10" s="38">
        <v>1</v>
      </c>
      <c r="BS10" s="36">
        <v>388.755</v>
      </c>
      <c r="BT10" s="29">
        <f aca="true" t="shared" si="18" ref="BT10:BT34">BS10*100%/AT10</f>
        <v>0.052629762001462105</v>
      </c>
      <c r="BU10" s="383">
        <f aca="true" t="shared" si="19" ref="BU10:BU34">BT10/50%</f>
        <v>0.10525952400292421</v>
      </c>
      <c r="BV10" s="373">
        <v>0.43044425773909556</v>
      </c>
      <c r="BW10" s="165">
        <f aca="true" t="shared" si="20" ref="BW10:BW34">1-(BV10/100)</f>
        <v>0.9956955574226091</v>
      </c>
      <c r="BX10" s="384">
        <f>2+2+3</f>
        <v>7</v>
      </c>
      <c r="BY10" s="165">
        <f aca="true" t="shared" si="21" ref="BY10:BY33">(1-BX10/12)</f>
        <v>0.41666666666666663</v>
      </c>
      <c r="BZ10" s="385">
        <v>1</v>
      </c>
      <c r="CA10" s="381">
        <v>0</v>
      </c>
      <c r="CB10" s="385">
        <v>2</v>
      </c>
      <c r="CC10" s="28">
        <f aca="true" t="shared" si="22" ref="CC10:CC33">1-CB10/4</f>
        <v>0.5</v>
      </c>
      <c r="CD10" s="386">
        <v>2</v>
      </c>
      <c r="CE10" s="387">
        <v>0</v>
      </c>
      <c r="CF10" s="42">
        <v>1</v>
      </c>
      <c r="CG10" s="28">
        <f aca="true" t="shared" si="23" ref="CG10:CG33">1-CF10/1</f>
        <v>0</v>
      </c>
      <c r="CH10" s="42"/>
      <c r="CI10" s="43"/>
      <c r="CJ10" s="36">
        <v>1</v>
      </c>
      <c r="CK10" s="28">
        <f aca="true" t="shared" si="24" ref="CK10:CK33">1-CJ10/1</f>
        <v>0</v>
      </c>
      <c r="CL10" s="388">
        <f aca="true" t="shared" si="25" ref="CL10:CL33">BX10+BZ10+CB10+CD10+CF10+CH10+CJ10</f>
        <v>14</v>
      </c>
      <c r="CM10" s="28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385">
        <v>0</v>
      </c>
      <c r="CS10" s="38">
        <f aca="true" t="shared" si="29" ref="CS10:CS33">1-CR10/3</f>
        <v>1</v>
      </c>
      <c r="CT10" s="385">
        <v>0</v>
      </c>
      <c r="CU10" s="381">
        <f aca="true" t="shared" si="30" ref="CU10:CU33">1-CT10/2</f>
        <v>1</v>
      </c>
      <c r="CV10" s="384">
        <v>3</v>
      </c>
      <c r="CW10" s="165">
        <f aca="true" t="shared" si="31" ref="CW10:CW33">1-CV10/5</f>
        <v>0.4</v>
      </c>
      <c r="CX10" s="384">
        <f>4+3+1+1</f>
        <v>9</v>
      </c>
      <c r="CY10" s="165">
        <f aca="true" t="shared" si="32" ref="CY10:CY33">1-CX10/11</f>
        <v>0.18181818181818177</v>
      </c>
      <c r="CZ10" s="384">
        <v>3</v>
      </c>
      <c r="DA10" s="165">
        <f aca="true" t="shared" si="33" ref="DA10:DA33">1-CZ10/8</f>
        <v>0.625</v>
      </c>
      <c r="DB10" s="388">
        <f aca="true" t="shared" si="34" ref="DB10:DB33">CR10+CT10+CX10+CZ10+CV10</f>
        <v>15</v>
      </c>
      <c r="DC10" s="165">
        <f aca="true" t="shared" si="35" ref="DC10:DC33">1-DB10/27</f>
        <v>0.4444444444444444</v>
      </c>
      <c r="DD10" s="389">
        <v>0</v>
      </c>
      <c r="DE10" s="38">
        <v>1</v>
      </c>
      <c r="DF10" s="385">
        <v>7</v>
      </c>
      <c r="DG10" s="154">
        <f aca="true" t="shared" si="36" ref="DG10:DG33">1-DF10/14</f>
        <v>0.5</v>
      </c>
      <c r="DH10" s="42">
        <v>16</v>
      </c>
      <c r="DI10" s="38">
        <f aca="true" t="shared" si="37" ref="DI10:DI33">1-DH10/45</f>
        <v>0.6444444444444444</v>
      </c>
      <c r="DJ10" s="36">
        <v>1</v>
      </c>
      <c r="DK10" s="38">
        <v>0</v>
      </c>
      <c r="DL10" s="385">
        <v>1</v>
      </c>
      <c r="DM10" s="390">
        <v>0.8</v>
      </c>
      <c r="DN10" s="385">
        <f aca="true" t="shared" si="38" ref="DN10:DN33">DD10+DF10+DH10+DJ10+DL10</f>
        <v>25</v>
      </c>
      <c r="DO10" s="390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3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426">
        <f aca="true" t="shared" si="41" ref="EP10:EP33">D10+F10+J10+N10+R10+V10+Z10+AD10+AI10+AM10+AQ10+AW10+BA10+BB10+BF10+BM10+BR10+BU10+BW10+CM10+DC10+DO10+DQ10+DS10+DU10+DX10+EA10+ED10+EG10+EJ10</f>
        <v>20.406163009584525</v>
      </c>
      <c r="EQ10" s="427">
        <v>18</v>
      </c>
      <c r="ER10" s="428">
        <v>1.6145885195028822</v>
      </c>
      <c r="ES10" s="53" t="s">
        <v>117</v>
      </c>
      <c r="EU10" s="54">
        <v>20.3009034855816</v>
      </c>
      <c r="EV10" s="54">
        <v>17</v>
      </c>
      <c r="EW10" s="54">
        <v>1.552704073700215</v>
      </c>
      <c r="EX10" s="54" t="s">
        <v>116</v>
      </c>
    </row>
    <row r="11" spans="1:154" s="54" customFormat="1" ht="18.75">
      <c r="A11" s="55">
        <f t="shared" si="0"/>
        <v>2</v>
      </c>
      <c r="B11" s="56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6">
        <v>2776.4</v>
      </c>
      <c r="AO11" s="66">
        <v>2992</v>
      </c>
      <c r="AP11" s="58">
        <f t="shared" si="10"/>
        <v>0.9279411764705883</v>
      </c>
      <c r="AQ11" s="391">
        <v>1</v>
      </c>
      <c r="AR11" s="69">
        <f>AT11*100/AT12</f>
        <v>57.40399789584429</v>
      </c>
      <c r="AS11" s="144">
        <v>13531.46</v>
      </c>
      <c r="AT11" s="66">
        <v>13531.5</v>
      </c>
      <c r="AU11" s="66">
        <v>6670.8</v>
      </c>
      <c r="AV11" s="26">
        <f t="shared" si="11"/>
        <v>0.49298449686877843</v>
      </c>
      <c r="AW11" s="35">
        <v>1</v>
      </c>
      <c r="AX11" s="66">
        <v>2749.37</v>
      </c>
      <c r="AY11" s="66">
        <f t="shared" si="12"/>
        <v>99.02643711280795</v>
      </c>
      <c r="AZ11" s="66">
        <f t="shared" si="13"/>
        <v>41.21499670204473</v>
      </c>
      <c r="BA11" s="35">
        <v>0</v>
      </c>
      <c r="BB11" s="35">
        <v>1</v>
      </c>
      <c r="BC11" s="392">
        <v>3655</v>
      </c>
      <c r="BD11" s="36">
        <f>AT11*1000/BC11</f>
        <v>3702.18878248974</v>
      </c>
      <c r="BE11" s="58">
        <f>BD11/BD12*100%</f>
        <v>0.7430323229691911</v>
      </c>
      <c r="BF11" s="35">
        <v>1</v>
      </c>
      <c r="BG11" s="68">
        <f>BD11*100/BD12</f>
        <v>74.3032322969191</v>
      </c>
      <c r="BH11" s="69">
        <f t="shared" si="14"/>
        <v>146.4748865437257</v>
      </c>
      <c r="BI11" s="69">
        <f t="shared" si="15"/>
        <v>30.05379115397406</v>
      </c>
      <c r="BJ11" s="66">
        <f>4066728.75/1000</f>
        <v>4066.72875</v>
      </c>
      <c r="BK11" s="66">
        <f t="shared" si="16"/>
        <v>1112.6480848153215</v>
      </c>
      <c r="BL11" s="58">
        <f>BK11/BK12*100%</f>
        <v>1.4531393325140427</v>
      </c>
      <c r="BM11" s="68">
        <v>0</v>
      </c>
      <c r="BN11" s="73">
        <v>1105.6</v>
      </c>
      <c r="BO11" s="71">
        <v>223</v>
      </c>
      <c r="BP11" s="58">
        <f t="shared" si="17"/>
        <v>0.16784585277735964</v>
      </c>
      <c r="BQ11" s="208">
        <v>1</v>
      </c>
      <c r="BR11" s="38">
        <v>1</v>
      </c>
      <c r="BS11" s="66"/>
      <c r="BT11" s="61">
        <f t="shared" si="18"/>
        <v>0</v>
      </c>
      <c r="BU11" s="383">
        <f t="shared" si="19"/>
        <v>0</v>
      </c>
      <c r="BV11" s="169">
        <v>0.4786655150784386</v>
      </c>
      <c r="BW11" s="166">
        <f t="shared" si="20"/>
        <v>0.9952133448492156</v>
      </c>
      <c r="BX11" s="393">
        <f>3+2+1</f>
        <v>6</v>
      </c>
      <c r="BY11" s="166">
        <f t="shared" si="21"/>
        <v>0.5</v>
      </c>
      <c r="BZ11" s="394">
        <v>0</v>
      </c>
      <c r="CA11" s="381">
        <v>1</v>
      </c>
      <c r="CB11" s="394">
        <v>1</v>
      </c>
      <c r="CC11" s="28">
        <f t="shared" si="22"/>
        <v>0.75</v>
      </c>
      <c r="CD11" s="395">
        <v>1</v>
      </c>
      <c r="CE11" s="387">
        <v>0.5</v>
      </c>
      <c r="CF11" s="73">
        <v>1</v>
      </c>
      <c r="CG11" s="28">
        <f t="shared" si="23"/>
        <v>0</v>
      </c>
      <c r="CH11" s="73"/>
      <c r="CI11" s="48"/>
      <c r="CJ11" s="36"/>
      <c r="CK11" s="28">
        <f t="shared" si="24"/>
        <v>1</v>
      </c>
      <c r="CL11" s="388">
        <f t="shared" si="25"/>
        <v>9</v>
      </c>
      <c r="CM11" s="28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0</v>
      </c>
      <c r="CS11" s="38">
        <f t="shared" si="29"/>
        <v>1</v>
      </c>
      <c r="CT11" s="394">
        <v>1</v>
      </c>
      <c r="CU11" s="381">
        <f t="shared" si="30"/>
        <v>0.5</v>
      </c>
      <c r="CV11" s="393"/>
      <c r="CW11" s="165">
        <f t="shared" si="31"/>
        <v>1</v>
      </c>
      <c r="CX11" s="393">
        <f>4+3+1+1</f>
        <v>9</v>
      </c>
      <c r="CY11" s="165">
        <f t="shared" si="32"/>
        <v>0.18181818181818177</v>
      </c>
      <c r="CZ11" s="393">
        <v>1</v>
      </c>
      <c r="DA11" s="166">
        <f t="shared" si="33"/>
        <v>0.875</v>
      </c>
      <c r="DB11" s="388">
        <f t="shared" si="34"/>
        <v>11</v>
      </c>
      <c r="DC11" s="165">
        <f t="shared" si="35"/>
        <v>0.5925925925925926</v>
      </c>
      <c r="DD11" s="396">
        <v>0</v>
      </c>
      <c r="DE11" s="69">
        <v>1</v>
      </c>
      <c r="DF11" s="394">
        <v>4</v>
      </c>
      <c r="DG11" s="155">
        <f t="shared" si="36"/>
        <v>0.7142857142857143</v>
      </c>
      <c r="DH11" s="73">
        <v>31</v>
      </c>
      <c r="DI11" s="38">
        <f t="shared" si="37"/>
        <v>0.3111111111111111</v>
      </c>
      <c r="DJ11" s="66">
        <v>1</v>
      </c>
      <c r="DK11" s="69">
        <v>0</v>
      </c>
      <c r="DL11" s="394">
        <v>1</v>
      </c>
      <c r="DM11" s="397">
        <v>0.8</v>
      </c>
      <c r="DN11" s="385">
        <f t="shared" si="38"/>
        <v>37</v>
      </c>
      <c r="DO11" s="390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20.94788285343631</v>
      </c>
      <c r="EQ11" s="24">
        <v>21</v>
      </c>
      <c r="ER11" s="428">
        <f>ER10</f>
        <v>1.6145885195028822</v>
      </c>
      <c r="ES11" s="77" t="s">
        <v>116</v>
      </c>
      <c r="EU11" s="54">
        <v>20.94788285343631</v>
      </c>
      <c r="EV11" s="54">
        <v>21</v>
      </c>
      <c r="EW11" s="54">
        <v>1.552704073700215</v>
      </c>
      <c r="EX11" s="54" t="s">
        <v>116</v>
      </c>
    </row>
    <row r="12" spans="1:154" s="54" customFormat="1" ht="18.75">
      <c r="A12" s="55">
        <f t="shared" si="0"/>
        <v>3</v>
      </c>
      <c r="B12" s="56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6">
        <v>3088.2</v>
      </c>
      <c r="AO12" s="66">
        <v>3445.2</v>
      </c>
      <c r="AP12" s="58">
        <f t="shared" si="10"/>
        <v>0.8963775687913619</v>
      </c>
      <c r="AQ12" s="391">
        <v>1</v>
      </c>
      <c r="AR12" s="69">
        <f>AT12*100/AT14</f>
        <v>102.3214223703858</v>
      </c>
      <c r="AS12" s="144">
        <v>23572.44</v>
      </c>
      <c r="AT12" s="66">
        <v>23572.4</v>
      </c>
      <c r="AU12" s="66">
        <v>6348.7</v>
      </c>
      <c r="AV12" s="26">
        <f t="shared" si="11"/>
        <v>0.2693272312921361</v>
      </c>
      <c r="AW12" s="35">
        <v>1</v>
      </c>
      <c r="AX12" s="66">
        <v>3082.51</v>
      </c>
      <c r="AY12" s="66">
        <f t="shared" si="12"/>
        <v>99.81575027524124</v>
      </c>
      <c r="AZ12" s="66">
        <f t="shared" si="13"/>
        <v>48.553404634019564</v>
      </c>
      <c r="BA12" s="35">
        <v>0</v>
      </c>
      <c r="BB12" s="35">
        <v>1</v>
      </c>
      <c r="BC12" s="392">
        <v>4731</v>
      </c>
      <c r="BD12" s="36">
        <f>AT12*1000/BC12</f>
        <v>4982.540689072078</v>
      </c>
      <c r="BE12" s="58">
        <f>BD12/BD14*100%</f>
        <v>0.8114781442060509</v>
      </c>
      <c r="BF12" s="35">
        <v>1</v>
      </c>
      <c r="BG12" s="68">
        <f>BD12*100/BD14</f>
        <v>81.1478144206051</v>
      </c>
      <c r="BH12" s="69">
        <f t="shared" si="14"/>
        <v>117.30002266692573</v>
      </c>
      <c r="BI12" s="69">
        <f t="shared" si="15"/>
        <v>15.367375829359759</v>
      </c>
      <c r="BJ12" s="66">
        <f>3622459.3/1000</f>
        <v>3622.4593</v>
      </c>
      <c r="BK12" s="66">
        <f t="shared" si="16"/>
        <v>765.6857535404777</v>
      </c>
      <c r="BL12" s="58">
        <f>BK12/BK14*100%</f>
        <v>0.6721617027106632</v>
      </c>
      <c r="BM12" s="68">
        <v>0</v>
      </c>
      <c r="BN12" s="73">
        <v>884.6</v>
      </c>
      <c r="BO12" s="73">
        <v>358.02</v>
      </c>
      <c r="BP12" s="58">
        <f t="shared" si="17"/>
        <v>0.2881170430220019</v>
      </c>
      <c r="BQ12" s="208">
        <v>1</v>
      </c>
      <c r="BR12" s="38">
        <v>1</v>
      </c>
      <c r="BS12" s="66">
        <v>1314.991</v>
      </c>
      <c r="BT12" s="61">
        <f t="shared" si="18"/>
        <v>0.055785197943357484</v>
      </c>
      <c r="BU12" s="383">
        <f t="shared" si="19"/>
        <v>0.11157039588671497</v>
      </c>
      <c r="BV12" s="169">
        <v>3.9168938933461397</v>
      </c>
      <c r="BW12" s="166">
        <f t="shared" si="20"/>
        <v>0.9608310610665386</v>
      </c>
      <c r="BX12" s="393">
        <f>3+2+2</f>
        <v>7</v>
      </c>
      <c r="BY12" s="166">
        <f t="shared" si="21"/>
        <v>0.41666666666666663</v>
      </c>
      <c r="BZ12" s="394">
        <v>0</v>
      </c>
      <c r="CA12" s="381">
        <v>1</v>
      </c>
      <c r="CB12" s="394">
        <v>0</v>
      </c>
      <c r="CC12" s="28">
        <f t="shared" si="22"/>
        <v>1</v>
      </c>
      <c r="CD12" s="395">
        <v>0</v>
      </c>
      <c r="CE12" s="387">
        <f>1-CD12/1</f>
        <v>1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7</v>
      </c>
      <c r="CM12" s="28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f>2+4+2+1</f>
        <v>9</v>
      </c>
      <c r="CY12" s="165">
        <f t="shared" si="32"/>
        <v>0.18181818181818177</v>
      </c>
      <c r="CZ12" s="393">
        <v>2</v>
      </c>
      <c r="DA12" s="166">
        <f t="shared" si="33"/>
        <v>0.75</v>
      </c>
      <c r="DB12" s="388">
        <f t="shared" si="34"/>
        <v>11</v>
      </c>
      <c r="DC12" s="165">
        <f t="shared" si="35"/>
        <v>0.5925925925925926</v>
      </c>
      <c r="DD12" s="396">
        <v>0</v>
      </c>
      <c r="DE12" s="69">
        <v>1</v>
      </c>
      <c r="DF12" s="394">
        <v>5</v>
      </c>
      <c r="DG12" s="155">
        <f t="shared" si="36"/>
        <v>0.6428571428571428</v>
      </c>
      <c r="DH12" s="73">
        <v>32</v>
      </c>
      <c r="DI12" s="38">
        <f t="shared" si="37"/>
        <v>0.28888888888888886</v>
      </c>
      <c r="DJ12" s="66">
        <v>1</v>
      </c>
      <c r="DK12" s="69">
        <v>0</v>
      </c>
      <c r="DL12" s="394">
        <v>2</v>
      </c>
      <c r="DM12" s="397">
        <v>0.66</v>
      </c>
      <c r="DN12" s="385">
        <f t="shared" si="38"/>
        <v>40</v>
      </c>
      <c r="DO12" s="390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22.009808174963737</v>
      </c>
      <c r="EQ12" s="24">
        <v>19</v>
      </c>
      <c r="ER12" s="428">
        <v>1.6145885195028822</v>
      </c>
      <c r="ES12" s="77" t="s">
        <v>116</v>
      </c>
      <c r="ET12" s="80"/>
      <c r="EU12" s="54">
        <v>22.89823777907702</v>
      </c>
      <c r="EV12" s="54">
        <v>19</v>
      </c>
      <c r="EW12" s="54">
        <v>1.552704073700215</v>
      </c>
      <c r="EX12" s="54" t="s">
        <v>116</v>
      </c>
    </row>
    <row r="13" spans="1:154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6">
        <v>3330.9</v>
      </c>
      <c r="AO13" s="66">
        <v>3948.8</v>
      </c>
      <c r="AP13" s="58">
        <f t="shared" si="10"/>
        <v>0.8435220826580226</v>
      </c>
      <c r="AQ13" s="391">
        <v>1</v>
      </c>
      <c r="AR13" s="69">
        <f>AT13*100/AT39</f>
        <v>11.011137535934173</v>
      </c>
      <c r="AS13" s="144">
        <v>42137.25</v>
      </c>
      <c r="AT13" s="66">
        <v>42137.3</v>
      </c>
      <c r="AU13" s="66">
        <v>11168.7</v>
      </c>
      <c r="AV13" s="26">
        <f t="shared" si="11"/>
        <v>0.2650552658277415</v>
      </c>
      <c r="AW13" s="35">
        <v>1</v>
      </c>
      <c r="AX13" s="66">
        <v>3227.41</v>
      </c>
      <c r="AY13" s="66">
        <f t="shared" si="12"/>
        <v>96.89303191329671</v>
      </c>
      <c r="AZ13" s="66">
        <f t="shared" si="13"/>
        <v>28.896917277749424</v>
      </c>
      <c r="BA13" s="35">
        <v>0</v>
      </c>
      <c r="BB13" s="35">
        <v>1</v>
      </c>
      <c r="BC13" s="392">
        <v>7908</v>
      </c>
      <c r="BD13" s="36">
        <f aca="true" t="shared" si="42" ref="BD13:BD33">AS13*1000/BC13</f>
        <v>5328.433232169955</v>
      </c>
      <c r="BE13" s="58">
        <f>BD13/BD39*100%</f>
        <v>1.3952715460999352</v>
      </c>
      <c r="BF13" s="35">
        <v>1</v>
      </c>
      <c r="BG13" s="68">
        <f>BD13*100/BD39</f>
        <v>139.52715460999352</v>
      </c>
      <c r="BH13" s="69">
        <f t="shared" si="14"/>
        <v>222.3380236572698</v>
      </c>
      <c r="BI13" s="69">
        <f t="shared" si="15"/>
        <v>17.57553813367254</v>
      </c>
      <c r="BJ13" s="66">
        <f>7405857.23/1000</f>
        <v>7405.8572300000005</v>
      </c>
      <c r="BK13" s="66">
        <f t="shared" si="16"/>
        <v>936.501925897825</v>
      </c>
      <c r="BL13" s="58">
        <f>BK13/BK39*100%</f>
        <v>1.3892727598998944</v>
      </c>
      <c r="BM13" s="68">
        <v>1</v>
      </c>
      <c r="BN13" s="73">
        <v>1668.6</v>
      </c>
      <c r="BO13" s="71">
        <v>1072.61</v>
      </c>
      <c r="BP13" s="58">
        <f t="shared" si="17"/>
        <v>0.39129070738834304</v>
      </c>
      <c r="BQ13" s="208">
        <v>1</v>
      </c>
      <c r="BR13" s="38">
        <v>1</v>
      </c>
      <c r="BS13" s="66">
        <v>19907.812</v>
      </c>
      <c r="BT13" s="61">
        <f t="shared" si="18"/>
        <v>0.4724510588006351</v>
      </c>
      <c r="BU13" s="383">
        <f t="shared" si="19"/>
        <v>0.9449021176012702</v>
      </c>
      <c r="BV13" s="169">
        <v>0.6248778528749858</v>
      </c>
      <c r="BW13" s="166">
        <f t="shared" si="20"/>
        <v>0.9937512214712502</v>
      </c>
      <c r="BX13" s="393">
        <v>10</v>
      </c>
      <c r="BY13" s="166">
        <f t="shared" si="21"/>
        <v>0.16666666666666663</v>
      </c>
      <c r="BZ13" s="394">
        <v>2</v>
      </c>
      <c r="CA13" s="381">
        <v>0</v>
      </c>
      <c r="CB13" s="394">
        <v>4</v>
      </c>
      <c r="CC13" s="28">
        <f t="shared" si="22"/>
        <v>0</v>
      </c>
      <c r="CD13" s="395">
        <v>2</v>
      </c>
      <c r="CE13" s="387">
        <v>0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20</v>
      </c>
      <c r="CM13" s="28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2</v>
      </c>
      <c r="CS13" s="38">
        <f t="shared" si="29"/>
        <v>0.33333333333333337</v>
      </c>
      <c r="CT13" s="394">
        <v>2</v>
      </c>
      <c r="CU13" s="381">
        <f t="shared" si="30"/>
        <v>0</v>
      </c>
      <c r="CV13" s="393">
        <v>5</v>
      </c>
      <c r="CW13" s="165">
        <f t="shared" si="31"/>
        <v>0</v>
      </c>
      <c r="CX13" s="393">
        <f>2+3+2+2</f>
        <v>9</v>
      </c>
      <c r="CY13" s="165">
        <f t="shared" si="32"/>
        <v>0.18181818181818177</v>
      </c>
      <c r="CZ13" s="393">
        <v>2</v>
      </c>
      <c r="DA13" s="166">
        <f t="shared" si="33"/>
        <v>0.75</v>
      </c>
      <c r="DB13" s="388">
        <f t="shared" si="34"/>
        <v>20</v>
      </c>
      <c r="DC13" s="165">
        <f t="shared" si="35"/>
        <v>0.2592592592592593</v>
      </c>
      <c r="DD13" s="396">
        <v>0</v>
      </c>
      <c r="DE13" s="69">
        <v>1</v>
      </c>
      <c r="DF13" s="394">
        <v>5</v>
      </c>
      <c r="DG13" s="155">
        <f t="shared" si="36"/>
        <v>0.6428571428571428</v>
      </c>
      <c r="DH13" s="73">
        <v>21</v>
      </c>
      <c r="DI13" s="38">
        <f t="shared" si="37"/>
        <v>0.5333333333333333</v>
      </c>
      <c r="DJ13" s="66">
        <v>1</v>
      </c>
      <c r="DK13" s="69">
        <v>0</v>
      </c>
      <c r="DL13" s="394">
        <v>3</v>
      </c>
      <c r="DM13" s="397">
        <v>0.5</v>
      </c>
      <c r="DN13" s="385">
        <f t="shared" si="38"/>
        <v>30</v>
      </c>
      <c r="DO13" s="390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377">
        <f t="shared" si="41"/>
        <v>23.682864306116073</v>
      </c>
      <c r="EQ13" s="24">
        <v>2</v>
      </c>
      <c r="ER13" s="428">
        <v>1.6145885195028822</v>
      </c>
      <c r="ES13" s="52" t="s">
        <v>119</v>
      </c>
      <c r="ET13" s="80"/>
      <c r="EU13" s="54">
        <v>23.68286464453358</v>
      </c>
      <c r="EV13" s="54">
        <v>2</v>
      </c>
      <c r="EW13" s="54">
        <v>1.552704073700215</v>
      </c>
      <c r="EX13" s="54" t="s">
        <v>119</v>
      </c>
    </row>
    <row r="14" spans="1:154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6">
        <v>2706.6</v>
      </c>
      <c r="AO14" s="66">
        <v>2914.1</v>
      </c>
      <c r="AP14" s="58">
        <f t="shared" si="10"/>
        <v>0.928794482001304</v>
      </c>
      <c r="AQ14" s="391">
        <v>1</v>
      </c>
      <c r="AR14" s="69">
        <f>AT14*100/AT48</f>
        <v>6.020086291666459</v>
      </c>
      <c r="AS14" s="144">
        <v>23037.58</v>
      </c>
      <c r="AT14" s="66">
        <v>23037.6</v>
      </c>
      <c r="AU14" s="66">
        <v>6303.2</v>
      </c>
      <c r="AV14" s="26">
        <f t="shared" si="11"/>
        <v>0.27360512692739425</v>
      </c>
      <c r="AW14" s="35">
        <v>1</v>
      </c>
      <c r="AX14" s="66">
        <v>2652.35</v>
      </c>
      <c r="AY14" s="66">
        <f t="shared" si="12"/>
        <v>97.99564028670657</v>
      </c>
      <c r="AZ14" s="66">
        <f t="shared" si="13"/>
        <v>42.079419977154465</v>
      </c>
      <c r="BA14" s="35">
        <v>0</v>
      </c>
      <c r="BB14" s="35">
        <v>1</v>
      </c>
      <c r="BC14" s="392">
        <v>3752</v>
      </c>
      <c r="BD14" s="36">
        <f t="shared" si="42"/>
        <v>6140.079957356077</v>
      </c>
      <c r="BE14" s="58">
        <f>BD14/BD48*100%</f>
        <v>1.6078044862332965</v>
      </c>
      <c r="BF14" s="35">
        <v>1</v>
      </c>
      <c r="BG14" s="68">
        <f>BD14*100/BD48</f>
        <v>160.78044862332965</v>
      </c>
      <c r="BH14" s="69">
        <f t="shared" si="14"/>
        <v>157.91215288553906</v>
      </c>
      <c r="BI14" s="69">
        <f t="shared" si="15"/>
        <v>18.552498220300727</v>
      </c>
      <c r="BJ14" s="66">
        <f>4274050.33/1000</f>
        <v>4274.05033</v>
      </c>
      <c r="BK14" s="66">
        <f t="shared" si="16"/>
        <v>1139.1392137526652</v>
      </c>
      <c r="BL14" s="58">
        <f>BK14/BK48*100%</f>
        <v>1.6898791509511797</v>
      </c>
      <c r="BM14" s="68">
        <v>1</v>
      </c>
      <c r="BN14" s="73">
        <v>835.4</v>
      </c>
      <c r="BO14" s="71">
        <v>177.09</v>
      </c>
      <c r="BP14" s="58">
        <f t="shared" si="17"/>
        <v>0.17490543116475224</v>
      </c>
      <c r="BQ14" s="208">
        <v>1</v>
      </c>
      <c r="BR14" s="38">
        <v>1</v>
      </c>
      <c r="BS14" s="66">
        <v>137.22</v>
      </c>
      <c r="BT14" s="61">
        <f t="shared" si="18"/>
        <v>0.0059563496197520575</v>
      </c>
      <c r="BU14" s="383">
        <f t="shared" si="19"/>
        <v>0.011912699239504115</v>
      </c>
      <c r="BV14" s="169">
        <v>0</v>
      </c>
      <c r="BW14" s="166">
        <f t="shared" si="20"/>
        <v>1</v>
      </c>
      <c r="BX14" s="393">
        <f>3+2+2</f>
        <v>7</v>
      </c>
      <c r="BY14" s="166">
        <f t="shared" si="21"/>
        <v>0.41666666666666663</v>
      </c>
      <c r="BZ14" s="394">
        <v>1</v>
      </c>
      <c r="CA14" s="381">
        <v>0</v>
      </c>
      <c r="CB14" s="394">
        <v>1</v>
      </c>
      <c r="CC14" s="28">
        <f t="shared" si="22"/>
        <v>0.75</v>
      </c>
      <c r="CD14" s="395">
        <v>0</v>
      </c>
      <c r="CE14" s="387">
        <f>1-CD14/1</f>
        <v>1</v>
      </c>
      <c r="CF14" s="73">
        <v>1</v>
      </c>
      <c r="CG14" s="28">
        <f t="shared" si="23"/>
        <v>0</v>
      </c>
      <c r="CH14" s="73"/>
      <c r="CI14" s="48"/>
      <c r="CJ14" s="36"/>
      <c r="CK14" s="28">
        <f t="shared" si="24"/>
        <v>1</v>
      </c>
      <c r="CL14" s="388">
        <f t="shared" si="25"/>
        <v>10</v>
      </c>
      <c r="CM14" s="28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3</v>
      </c>
      <c r="CW14" s="165">
        <f t="shared" si="31"/>
        <v>0.4</v>
      </c>
      <c r="CX14" s="393">
        <f>3+3+2+2</f>
        <v>10</v>
      </c>
      <c r="CY14" s="165">
        <f t="shared" si="32"/>
        <v>0.09090909090909094</v>
      </c>
      <c r="CZ14" s="393">
        <v>4</v>
      </c>
      <c r="DA14" s="166">
        <f t="shared" si="33"/>
        <v>0.5</v>
      </c>
      <c r="DB14" s="388">
        <f t="shared" si="34"/>
        <v>17</v>
      </c>
      <c r="DC14" s="165">
        <f t="shared" si="35"/>
        <v>0.37037037037037035</v>
      </c>
      <c r="DD14" s="396">
        <v>1</v>
      </c>
      <c r="DE14" s="69">
        <v>0.5</v>
      </c>
      <c r="DF14" s="394">
        <v>14</v>
      </c>
      <c r="DG14" s="155">
        <f t="shared" si="36"/>
        <v>0</v>
      </c>
      <c r="DH14" s="73">
        <v>45</v>
      </c>
      <c r="DI14" s="38">
        <f t="shared" si="37"/>
        <v>0</v>
      </c>
      <c r="DJ14" s="66">
        <v>1</v>
      </c>
      <c r="DK14" s="69">
        <v>0</v>
      </c>
      <c r="DL14" s="394">
        <v>1</v>
      </c>
      <c r="DM14" s="397">
        <v>0.8</v>
      </c>
      <c r="DN14" s="385">
        <f t="shared" si="38"/>
        <v>62</v>
      </c>
      <c r="DO14" s="390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20.727964560599766</v>
      </c>
      <c r="EQ14" s="427">
        <v>16</v>
      </c>
      <c r="ER14" s="428">
        <v>1.6145885195028822</v>
      </c>
      <c r="ES14" s="53" t="s">
        <v>117</v>
      </c>
      <c r="EU14" s="54">
        <v>20.727964560599766</v>
      </c>
      <c r="EV14" s="54">
        <v>16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6">
        <v>2018.3</v>
      </c>
      <c r="AO15" s="66">
        <v>2467.2</v>
      </c>
      <c r="AP15" s="58">
        <f t="shared" si="10"/>
        <v>0.8180528534370948</v>
      </c>
      <c r="AQ15" s="391">
        <v>1</v>
      </c>
      <c r="AR15" s="69">
        <f>AT15*100/AT47</f>
        <v>2.1228502538289935</v>
      </c>
      <c r="AS15" s="144">
        <v>8123.68</v>
      </c>
      <c r="AT15" s="66">
        <v>8123.7</v>
      </c>
      <c r="AU15" s="66">
        <v>4182.7</v>
      </c>
      <c r="AV15" s="26">
        <f t="shared" si="11"/>
        <v>0.5148774939436315</v>
      </c>
      <c r="AW15" s="35">
        <v>0.8</v>
      </c>
      <c r="AX15" s="66">
        <v>1937.58</v>
      </c>
      <c r="AY15" s="66">
        <f t="shared" si="12"/>
        <v>96.00059455977804</v>
      </c>
      <c r="AZ15" s="66">
        <f t="shared" si="13"/>
        <v>46.32366653118799</v>
      </c>
      <c r="BA15" s="35">
        <v>0</v>
      </c>
      <c r="BB15" s="35">
        <v>1</v>
      </c>
      <c r="BC15" s="392">
        <v>2267</v>
      </c>
      <c r="BD15" s="36">
        <f t="shared" si="42"/>
        <v>3583.4494927216588</v>
      </c>
      <c r="BE15" s="58">
        <f>BD15/BD50*100%</f>
        <v>0.9383405770939202</v>
      </c>
      <c r="BF15" s="35">
        <v>0.9</v>
      </c>
      <c r="BG15" s="68">
        <f>BD15*100/BD47</f>
        <v>93.83405770939201</v>
      </c>
      <c r="BH15" s="69">
        <f t="shared" si="14"/>
        <v>65.68159589753753</v>
      </c>
      <c r="BI15" s="69">
        <f t="shared" si="15"/>
        <v>16.31832354715216</v>
      </c>
      <c r="BJ15" s="66">
        <f>1325651.65/1000</f>
        <v>1325.65165</v>
      </c>
      <c r="BK15" s="66">
        <f t="shared" si="16"/>
        <v>584.7603220114688</v>
      </c>
      <c r="BL15" s="58">
        <f>BK15/BK50*100%</f>
        <v>0.8674745496780307</v>
      </c>
      <c r="BM15" s="68">
        <v>0</v>
      </c>
      <c r="BN15" s="73">
        <v>429.1</v>
      </c>
      <c r="BO15" s="71">
        <v>17.6</v>
      </c>
      <c r="BP15" s="58">
        <f t="shared" si="17"/>
        <v>0.03940004477277815</v>
      </c>
      <c r="BQ15" s="208">
        <v>1</v>
      </c>
      <c r="BR15" s="38">
        <v>1</v>
      </c>
      <c r="BS15" s="66">
        <v>1018</v>
      </c>
      <c r="BT15" s="61">
        <f t="shared" si="18"/>
        <v>0.12531235766953483</v>
      </c>
      <c r="BU15" s="383">
        <f t="shared" si="19"/>
        <v>0.25062471533906966</v>
      </c>
      <c r="BV15" s="169">
        <v>0</v>
      </c>
      <c r="BW15" s="166">
        <f t="shared" si="20"/>
        <v>1</v>
      </c>
      <c r="BX15" s="393">
        <f>4+3+2</f>
        <v>9</v>
      </c>
      <c r="BY15" s="166">
        <f t="shared" si="21"/>
        <v>0.25</v>
      </c>
      <c r="BZ15" s="394">
        <v>2</v>
      </c>
      <c r="CA15" s="381">
        <v>0</v>
      </c>
      <c r="CB15" s="394">
        <v>2</v>
      </c>
      <c r="CC15" s="28">
        <f t="shared" si="22"/>
        <v>0.5</v>
      </c>
      <c r="CD15" s="395">
        <v>0</v>
      </c>
      <c r="CE15" s="387">
        <f>1-CD15/1</f>
        <v>1</v>
      </c>
      <c r="CF15" s="73"/>
      <c r="CG15" s="28">
        <f t="shared" si="23"/>
        <v>1</v>
      </c>
      <c r="CH15" s="73"/>
      <c r="CI15" s="48"/>
      <c r="CJ15" s="36">
        <v>1</v>
      </c>
      <c r="CK15" s="28">
        <f t="shared" si="24"/>
        <v>0</v>
      </c>
      <c r="CL15" s="388">
        <f t="shared" si="25"/>
        <v>14</v>
      </c>
      <c r="CM15" s="28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3</v>
      </c>
      <c r="CS15" s="38">
        <f t="shared" si="29"/>
        <v>0</v>
      </c>
      <c r="CT15" s="394">
        <v>1</v>
      </c>
      <c r="CU15" s="381">
        <f t="shared" si="30"/>
        <v>0.5</v>
      </c>
      <c r="CV15" s="393">
        <v>5</v>
      </c>
      <c r="CW15" s="165">
        <f t="shared" si="31"/>
        <v>0</v>
      </c>
      <c r="CX15" s="393">
        <f>4+2+2+2</f>
        <v>10</v>
      </c>
      <c r="CY15" s="165">
        <f t="shared" si="32"/>
        <v>0.09090909090909094</v>
      </c>
      <c r="CZ15" s="393">
        <v>8</v>
      </c>
      <c r="DA15" s="166">
        <f t="shared" si="33"/>
        <v>0</v>
      </c>
      <c r="DB15" s="388">
        <f t="shared" si="34"/>
        <v>27</v>
      </c>
      <c r="DC15" s="165">
        <f t="shared" si="35"/>
        <v>0</v>
      </c>
      <c r="DD15" s="396">
        <v>1</v>
      </c>
      <c r="DE15" s="69">
        <v>0.5</v>
      </c>
      <c r="DF15" s="394">
        <v>11</v>
      </c>
      <c r="DG15" s="155">
        <f t="shared" si="36"/>
        <v>0.2142857142857143</v>
      </c>
      <c r="DH15" s="73">
        <v>10</v>
      </c>
      <c r="DI15" s="38">
        <f t="shared" si="37"/>
        <v>0.7777777777777778</v>
      </c>
      <c r="DJ15" s="66">
        <v>1</v>
      </c>
      <c r="DK15" s="69">
        <v>0</v>
      </c>
      <c r="DL15" s="394">
        <v>5</v>
      </c>
      <c r="DM15" s="397">
        <v>0.8</v>
      </c>
      <c r="DN15" s="385">
        <f t="shared" si="38"/>
        <v>28</v>
      </c>
      <c r="DO15" s="390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21.575265775578632</v>
      </c>
      <c r="EQ15" s="427">
        <v>14</v>
      </c>
      <c r="ER15" s="428">
        <v>1.6145885195028822</v>
      </c>
      <c r="ES15" s="53" t="s">
        <v>117</v>
      </c>
      <c r="EU15" s="54">
        <v>21.324641060239564</v>
      </c>
      <c r="EV15" s="54">
        <v>14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6">
        <v>2357.9</v>
      </c>
      <c r="AO16" s="66">
        <v>3263.5</v>
      </c>
      <c r="AP16" s="58">
        <f t="shared" si="10"/>
        <v>0.7225065114141259</v>
      </c>
      <c r="AQ16" s="391">
        <v>1</v>
      </c>
      <c r="AR16" s="69">
        <f>AT16*100/AT47</f>
        <v>3.332323783725729</v>
      </c>
      <c r="AS16" s="144">
        <v>12752.05</v>
      </c>
      <c r="AT16" s="66">
        <v>12752.1</v>
      </c>
      <c r="AU16" s="66">
        <v>4237.8</v>
      </c>
      <c r="AV16" s="26">
        <f t="shared" si="11"/>
        <v>0.3323230382565941</v>
      </c>
      <c r="AW16" s="35">
        <v>1</v>
      </c>
      <c r="AX16" s="66">
        <v>2342.9</v>
      </c>
      <c r="AY16" s="66">
        <f t="shared" si="12"/>
        <v>99.3638407057127</v>
      </c>
      <c r="AZ16" s="66">
        <f t="shared" si="13"/>
        <v>55.285761480013214</v>
      </c>
      <c r="BA16" s="35">
        <v>0</v>
      </c>
      <c r="BB16" s="35">
        <v>1</v>
      </c>
      <c r="BC16" s="392">
        <v>5190</v>
      </c>
      <c r="BD16" s="36">
        <f t="shared" si="42"/>
        <v>2457.0423892100193</v>
      </c>
      <c r="BE16" s="58">
        <f>BD16/BD48*100%</f>
        <v>0.6433863734143147</v>
      </c>
      <c r="BF16" s="35">
        <v>0</v>
      </c>
      <c r="BG16" s="68">
        <f>BD16*100/BD47</f>
        <v>64.33863734143148</v>
      </c>
      <c r="BH16" s="69">
        <f t="shared" si="14"/>
        <v>4.043988718775181</v>
      </c>
      <c r="BI16" s="69">
        <f t="shared" si="15"/>
        <v>0.7477451556998455</v>
      </c>
      <c r="BJ16" s="66">
        <f>95353.21/1000</f>
        <v>95.35321</v>
      </c>
      <c r="BK16" s="66">
        <f t="shared" si="16"/>
        <v>18.37248747591522</v>
      </c>
      <c r="BL16" s="58">
        <f>BK16/BK48*100%</f>
        <v>0.02725503885901861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v>1054.22</v>
      </c>
      <c r="BT16" s="61">
        <f t="shared" si="18"/>
        <v>0.08267030528305142</v>
      </c>
      <c r="BU16" s="383">
        <f t="shared" si="19"/>
        <v>0.16534061056610283</v>
      </c>
      <c r="BV16" s="169">
        <v>1.9636752110260332</v>
      </c>
      <c r="BW16" s="166">
        <f t="shared" si="20"/>
        <v>0.9803632478897397</v>
      </c>
      <c r="BX16" s="393">
        <f>1+2+1</f>
        <v>4</v>
      </c>
      <c r="BY16" s="166">
        <f t="shared" si="21"/>
        <v>0.6666666666666667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/>
      <c r="CK16" s="28">
        <f t="shared" si="24"/>
        <v>1</v>
      </c>
      <c r="CL16" s="388">
        <f t="shared" si="25"/>
        <v>4</v>
      </c>
      <c r="CM16" s="28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0</v>
      </c>
      <c r="CS16" s="38">
        <f t="shared" si="29"/>
        <v>1</v>
      </c>
      <c r="CT16" s="394">
        <v>0</v>
      </c>
      <c r="CU16" s="381">
        <f t="shared" si="30"/>
        <v>1</v>
      </c>
      <c r="CV16" s="393">
        <v>1</v>
      </c>
      <c r="CW16" s="165">
        <f t="shared" si="31"/>
        <v>0.8</v>
      </c>
      <c r="CX16" s="393">
        <v>3</v>
      </c>
      <c r="CY16" s="165">
        <f t="shared" si="32"/>
        <v>0.7272727272727273</v>
      </c>
      <c r="CZ16" s="393">
        <v>1</v>
      </c>
      <c r="DA16" s="166">
        <f t="shared" si="33"/>
        <v>0.875</v>
      </c>
      <c r="DB16" s="388">
        <f t="shared" si="34"/>
        <v>5</v>
      </c>
      <c r="DC16" s="165">
        <f t="shared" si="35"/>
        <v>0.8148148148148149</v>
      </c>
      <c r="DD16" s="396">
        <v>0</v>
      </c>
      <c r="DE16" s="69">
        <v>1</v>
      </c>
      <c r="DF16" s="394">
        <v>1</v>
      </c>
      <c r="DG16" s="155">
        <f t="shared" si="36"/>
        <v>0.9285714285714286</v>
      </c>
      <c r="DH16" s="73">
        <v>10</v>
      </c>
      <c r="DI16" s="38">
        <f t="shared" si="37"/>
        <v>0.7777777777777778</v>
      </c>
      <c r="DJ16" s="66">
        <v>1</v>
      </c>
      <c r="DK16" s="69">
        <v>0</v>
      </c>
      <c r="DL16" s="394">
        <v>1</v>
      </c>
      <c r="DM16" s="397">
        <v>0.8333333333333334</v>
      </c>
      <c r="DN16" s="385">
        <f t="shared" si="38"/>
        <v>13</v>
      </c>
      <c r="DO16" s="390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22.31704246850812</v>
      </c>
      <c r="EQ16" s="427">
        <v>8</v>
      </c>
      <c r="ER16" s="428">
        <v>1.6145885195028822</v>
      </c>
      <c r="ES16" s="53" t="s">
        <v>117</v>
      </c>
      <c r="EU16" s="54">
        <v>22.201410392222645</v>
      </c>
      <c r="EV16" s="54">
        <v>8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6">
        <v>2380.6</v>
      </c>
      <c r="AO17" s="66">
        <v>2942.3</v>
      </c>
      <c r="AP17" s="58">
        <f t="shared" si="10"/>
        <v>0.8090949257383678</v>
      </c>
      <c r="AQ17" s="391">
        <v>1</v>
      </c>
      <c r="AR17" s="69">
        <f>AT17*100/AT31</f>
        <v>80.8661983785051</v>
      </c>
      <c r="AS17" s="144">
        <v>10004.19</v>
      </c>
      <c r="AT17" s="66">
        <v>10004.2</v>
      </c>
      <c r="AU17" s="66">
        <v>5229.7</v>
      </c>
      <c r="AV17" s="26">
        <f t="shared" si="11"/>
        <v>0.5227509673446825</v>
      </c>
      <c r="AW17" s="35">
        <v>0.8</v>
      </c>
      <c r="AX17" s="66">
        <v>2224.99</v>
      </c>
      <c r="AY17" s="66">
        <f t="shared" si="12"/>
        <v>93.46341258506258</v>
      </c>
      <c r="AZ17" s="66">
        <f t="shared" si="13"/>
        <v>42.545270283190234</v>
      </c>
      <c r="BA17" s="35">
        <v>0</v>
      </c>
      <c r="BB17" s="35">
        <v>1</v>
      </c>
      <c r="BC17" s="392">
        <v>3282</v>
      </c>
      <c r="BD17" s="36">
        <f t="shared" si="42"/>
        <v>3048.199268738574</v>
      </c>
      <c r="BE17" s="58">
        <f>BD17/BD23*100%</f>
        <v>1.2628400380959721</v>
      </c>
      <c r="BF17" s="35">
        <v>0.7</v>
      </c>
      <c r="BG17" s="68">
        <f>BD17*100/BD31</f>
        <v>153.03506399619184</v>
      </c>
      <c r="BH17" s="69">
        <f t="shared" si="14"/>
        <v>149.1689187599765</v>
      </c>
      <c r="BI17" s="69">
        <f t="shared" si="15"/>
        <v>35.496244377361506</v>
      </c>
      <c r="BJ17" s="66">
        <f>3551115.28/1000</f>
        <v>3551.11528</v>
      </c>
      <c r="BK17" s="66">
        <f t="shared" si="16"/>
        <v>1081.9973430834857</v>
      </c>
      <c r="BL17" s="58">
        <f>BK17/BK23*100%</f>
        <v>2.0451063721221776</v>
      </c>
      <c r="BM17" s="68">
        <v>1</v>
      </c>
      <c r="BN17" s="73">
        <v>1251.7</v>
      </c>
      <c r="BO17" s="71">
        <v>88.77</v>
      </c>
      <c r="BP17" s="58">
        <f>BO17/(BN17+BO17)</f>
        <v>0.06622304117212618</v>
      </c>
      <c r="BQ17" s="208">
        <v>1</v>
      </c>
      <c r="BR17" s="38">
        <v>1</v>
      </c>
      <c r="BS17" s="66">
        <v>322.472</v>
      </c>
      <c r="BT17" s="61">
        <f t="shared" si="18"/>
        <v>0.03223366186201795</v>
      </c>
      <c r="BU17" s="383">
        <f t="shared" si="19"/>
        <v>0.0644673237240359</v>
      </c>
      <c r="BV17" s="169">
        <v>0</v>
      </c>
      <c r="BW17" s="166">
        <f t="shared" si="20"/>
        <v>1</v>
      </c>
      <c r="BX17" s="393">
        <f>2+1+1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1</v>
      </c>
      <c r="CE17" s="387">
        <v>0.5</v>
      </c>
      <c r="CF17" s="73"/>
      <c r="CG17" s="28">
        <f t="shared" si="23"/>
        <v>1</v>
      </c>
      <c r="CH17" s="73"/>
      <c r="CI17" s="48"/>
      <c r="CJ17" s="36">
        <v>1</v>
      </c>
      <c r="CK17" s="28">
        <f t="shared" si="24"/>
        <v>0</v>
      </c>
      <c r="CL17" s="388">
        <f t="shared" si="25"/>
        <v>6</v>
      </c>
      <c r="CM17" s="28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1</v>
      </c>
      <c r="CU17" s="381">
        <f t="shared" si="30"/>
        <v>0.5</v>
      </c>
      <c r="CV17" s="393">
        <v>2</v>
      </c>
      <c r="CW17" s="165">
        <f t="shared" si="31"/>
        <v>0.6</v>
      </c>
      <c r="CX17" s="393">
        <f>2+3+1+1</f>
        <v>7</v>
      </c>
      <c r="CY17" s="165">
        <f t="shared" si="32"/>
        <v>0.36363636363636365</v>
      </c>
      <c r="CZ17" s="393">
        <v>0</v>
      </c>
      <c r="DA17" s="166">
        <f t="shared" si="33"/>
        <v>1</v>
      </c>
      <c r="DB17" s="388">
        <f t="shared" si="34"/>
        <v>10</v>
      </c>
      <c r="DC17" s="165">
        <f t="shared" si="35"/>
        <v>0.6296296296296297</v>
      </c>
      <c r="DD17" s="396">
        <v>1</v>
      </c>
      <c r="DE17" s="69">
        <v>0.5</v>
      </c>
      <c r="DF17" s="394">
        <v>7</v>
      </c>
      <c r="DG17" s="155">
        <f t="shared" si="36"/>
        <v>0.5</v>
      </c>
      <c r="DH17" s="73">
        <v>1</v>
      </c>
      <c r="DI17" s="38">
        <f t="shared" si="37"/>
        <v>0.9777777777777777</v>
      </c>
      <c r="DJ17" s="66">
        <v>1</v>
      </c>
      <c r="DK17" s="69">
        <v>0</v>
      </c>
      <c r="DL17" s="394">
        <v>1</v>
      </c>
      <c r="DM17" s="397">
        <v>0.8</v>
      </c>
      <c r="DN17" s="385">
        <f t="shared" si="38"/>
        <v>11</v>
      </c>
      <c r="DO17" s="390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77">
        <f t="shared" si="41"/>
        <v>19.83964054628982</v>
      </c>
      <c r="EQ17" s="24">
        <v>23</v>
      </c>
      <c r="ER17" s="428">
        <v>1.6145885195028822</v>
      </c>
      <c r="ES17" s="52" t="s">
        <v>116</v>
      </c>
      <c r="ET17" s="80"/>
      <c r="EU17" s="54">
        <v>19.83964054628982</v>
      </c>
      <c r="EV17" s="54">
        <v>23</v>
      </c>
      <c r="EW17" s="54">
        <v>1.552704073700215</v>
      </c>
      <c r="EX17" s="54" t="s">
        <v>116</v>
      </c>
    </row>
    <row r="18" spans="1:154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6">
        <v>2956.6</v>
      </c>
      <c r="AO18" s="66">
        <v>3292.7</v>
      </c>
      <c r="AP18" s="58">
        <f t="shared" si="10"/>
        <v>0.8979257144592584</v>
      </c>
      <c r="AQ18" s="391">
        <v>1</v>
      </c>
      <c r="AR18" s="69">
        <f>AT18*100/AT49</f>
        <v>4.617578863114741</v>
      </c>
      <c r="AS18" s="144">
        <v>17670.52</v>
      </c>
      <c r="AT18" s="66">
        <v>17670.5</v>
      </c>
      <c r="AU18" s="66">
        <v>6082.9</v>
      </c>
      <c r="AV18" s="26">
        <f t="shared" si="11"/>
        <v>0.34424001104664714</v>
      </c>
      <c r="AW18" s="35">
        <v>1</v>
      </c>
      <c r="AX18" s="66">
        <v>2883.66</v>
      </c>
      <c r="AY18" s="66">
        <f t="shared" si="12"/>
        <v>97.53297706825408</v>
      </c>
      <c r="AZ18" s="66">
        <f t="shared" si="13"/>
        <v>47.40600700323859</v>
      </c>
      <c r="BA18" s="35">
        <v>0</v>
      </c>
      <c r="BB18" s="35">
        <v>1</v>
      </c>
      <c r="BC18" s="392">
        <v>5321</v>
      </c>
      <c r="BD18" s="36">
        <f t="shared" si="42"/>
        <v>3320.902086074046</v>
      </c>
      <c r="BE18" s="58">
        <f>BD18/BD53*100%</f>
        <v>0.8695914889405606</v>
      </c>
      <c r="BF18" s="35">
        <v>0.8</v>
      </c>
      <c r="BG18" s="68">
        <f>BD18*100/BD49</f>
        <v>86.95914889405606</v>
      </c>
      <c r="BH18" s="69">
        <f t="shared" si="14"/>
        <v>57.14703713725225</v>
      </c>
      <c r="BI18" s="69">
        <f t="shared" si="15"/>
        <v>9.561751506748536</v>
      </c>
      <c r="BJ18" s="66">
        <f>1689609.3/1000</f>
        <v>1689.6093</v>
      </c>
      <c r="BK18" s="66">
        <f t="shared" si="16"/>
        <v>317.5360458560421</v>
      </c>
      <c r="BL18" s="58">
        <f>BK18/BK53*100%</f>
        <v>0.47105528199656166</v>
      </c>
      <c r="BM18" s="68">
        <v>0</v>
      </c>
      <c r="BN18" s="73">
        <v>0</v>
      </c>
      <c r="BO18" s="71">
        <v>0</v>
      </c>
      <c r="BP18" s="58"/>
      <c r="BQ18" s="208"/>
      <c r="BR18" s="38">
        <v>1</v>
      </c>
      <c r="BS18" s="66">
        <v>3432.498</v>
      </c>
      <c r="BT18" s="61">
        <f t="shared" si="18"/>
        <v>0.19425019099629326</v>
      </c>
      <c r="BU18" s="383">
        <f t="shared" si="19"/>
        <v>0.3885003819925865</v>
      </c>
      <c r="BV18" s="169">
        <v>1.3370342818605623</v>
      </c>
      <c r="BW18" s="166">
        <f t="shared" si="20"/>
        <v>0.9866296571813944</v>
      </c>
      <c r="BX18" s="393">
        <f>2+2+1</f>
        <v>5</v>
      </c>
      <c r="BY18" s="166">
        <f t="shared" si="21"/>
        <v>0.5833333333333333</v>
      </c>
      <c r="BZ18" s="394">
        <v>1</v>
      </c>
      <c r="CA18" s="381">
        <v>0</v>
      </c>
      <c r="CB18" s="394">
        <v>2</v>
      </c>
      <c r="CC18" s="28">
        <f t="shared" si="22"/>
        <v>0.5</v>
      </c>
      <c r="CD18" s="395">
        <v>1</v>
      </c>
      <c r="CE18" s="387">
        <v>0.5</v>
      </c>
      <c r="CF18" s="73"/>
      <c r="CG18" s="28">
        <f t="shared" si="23"/>
        <v>1</v>
      </c>
      <c r="CH18" s="73"/>
      <c r="CI18" s="48"/>
      <c r="CJ18" s="66"/>
      <c r="CK18" s="28">
        <f t="shared" si="24"/>
        <v>1</v>
      </c>
      <c r="CL18" s="388">
        <f t="shared" si="25"/>
        <v>9</v>
      </c>
      <c r="CM18" s="28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2</v>
      </c>
      <c r="CS18" s="38">
        <f t="shared" si="29"/>
        <v>0.33333333333333337</v>
      </c>
      <c r="CT18" s="394">
        <v>0</v>
      </c>
      <c r="CU18" s="381">
        <f t="shared" si="30"/>
        <v>1</v>
      </c>
      <c r="CV18" s="393">
        <v>1</v>
      </c>
      <c r="CW18" s="165">
        <f t="shared" si="31"/>
        <v>0.8</v>
      </c>
      <c r="CX18" s="393">
        <f>3+3+1+1</f>
        <v>8</v>
      </c>
      <c r="CY18" s="165">
        <f t="shared" si="32"/>
        <v>0.2727272727272727</v>
      </c>
      <c r="CZ18" s="393">
        <v>1</v>
      </c>
      <c r="DA18" s="166">
        <f t="shared" si="33"/>
        <v>0.875</v>
      </c>
      <c r="DB18" s="388">
        <f t="shared" si="34"/>
        <v>12</v>
      </c>
      <c r="DC18" s="165">
        <f t="shared" si="35"/>
        <v>0.5555555555555556</v>
      </c>
      <c r="DD18" s="396">
        <v>0</v>
      </c>
      <c r="DE18" s="69">
        <v>1</v>
      </c>
      <c r="DF18" s="394">
        <v>2</v>
      </c>
      <c r="DG18" s="155">
        <f t="shared" si="36"/>
        <v>0.8571428571428572</v>
      </c>
      <c r="DH18" s="73">
        <v>2</v>
      </c>
      <c r="DI18" s="38">
        <f t="shared" si="37"/>
        <v>0.9555555555555556</v>
      </c>
      <c r="DJ18" s="66">
        <v>1</v>
      </c>
      <c r="DK18" s="69">
        <v>0</v>
      </c>
      <c r="DL18" s="394">
        <v>1</v>
      </c>
      <c r="DM18" s="397">
        <v>0</v>
      </c>
      <c r="DN18" s="385">
        <f t="shared" si="38"/>
        <v>6</v>
      </c>
      <c r="DO18" s="390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22.666144729021248</v>
      </c>
      <c r="EQ18" s="427">
        <v>6</v>
      </c>
      <c r="ER18" s="428">
        <v>1.6145885195028822</v>
      </c>
      <c r="ES18" s="53" t="s">
        <v>117</v>
      </c>
      <c r="ET18" s="80"/>
      <c r="EU18" s="54">
        <v>22.354608989794855</v>
      </c>
      <c r="EV18" s="54">
        <v>6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6">
        <v>3999.1</v>
      </c>
      <c r="AO19" s="66">
        <v>4746.3</v>
      </c>
      <c r="AP19" s="58">
        <f t="shared" si="10"/>
        <v>0.8425721088005393</v>
      </c>
      <c r="AQ19" s="391">
        <v>1</v>
      </c>
      <c r="AR19" s="69">
        <f>AT19*100/AT50</f>
        <v>10.130425272989966</v>
      </c>
      <c r="AS19" s="144">
        <v>38766.96</v>
      </c>
      <c r="AT19" s="66">
        <v>38767</v>
      </c>
      <c r="AU19" s="66">
        <v>6230.9</v>
      </c>
      <c r="AV19" s="26">
        <f t="shared" si="11"/>
        <v>0.16072707274441947</v>
      </c>
      <c r="AW19" s="35">
        <v>1</v>
      </c>
      <c r="AX19" s="66">
        <v>3317.44</v>
      </c>
      <c r="AY19" s="66">
        <f t="shared" si="12"/>
        <v>82.9546647995799</v>
      </c>
      <c r="AZ19" s="66">
        <f t="shared" si="13"/>
        <v>53.241746778154045</v>
      </c>
      <c r="BA19" s="35">
        <v>1</v>
      </c>
      <c r="BB19" s="35">
        <v>1</v>
      </c>
      <c r="BC19" s="392">
        <v>13247</v>
      </c>
      <c r="BD19" s="36">
        <f t="shared" si="42"/>
        <v>2926.470899071488</v>
      </c>
      <c r="BE19" s="58">
        <f>BD19/BD50*100%</f>
        <v>0.7663081056006943</v>
      </c>
      <c r="BF19" s="35">
        <v>0.7</v>
      </c>
      <c r="BG19" s="68">
        <f>BD19*100/BD50</f>
        <v>76.63081056006943</v>
      </c>
      <c r="BH19" s="69">
        <f t="shared" si="14"/>
        <v>105.72604410992474</v>
      </c>
      <c r="BI19" s="69">
        <f t="shared" si="15"/>
        <v>10.906415843371942</v>
      </c>
      <c r="BJ19" s="66">
        <f>4228090.23/1000</f>
        <v>4228.090230000001</v>
      </c>
      <c r="BK19" s="66">
        <f t="shared" si="16"/>
        <v>319.17341511285576</v>
      </c>
      <c r="BL19" s="58">
        <f>BK19/BK50*100%</f>
        <v>0.473484270601372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v>9532.15</v>
      </c>
      <c r="BT19" s="61">
        <f t="shared" si="18"/>
        <v>0.2458830964480099</v>
      </c>
      <c r="BU19" s="383">
        <f t="shared" si="19"/>
        <v>0.4917661928960198</v>
      </c>
      <c r="BV19" s="169">
        <v>4.354440767314567</v>
      </c>
      <c r="BW19" s="166">
        <f t="shared" si="20"/>
        <v>0.9564555923268543</v>
      </c>
      <c r="BX19" s="393">
        <f>3+3+2</f>
        <v>8</v>
      </c>
      <c r="BY19" s="166">
        <f t="shared" si="21"/>
        <v>0.33333333333333337</v>
      </c>
      <c r="BZ19" s="394">
        <v>0</v>
      </c>
      <c r="CA19" s="381">
        <v>1</v>
      </c>
      <c r="CB19" s="394">
        <v>0</v>
      </c>
      <c r="CC19" s="28">
        <f t="shared" si="22"/>
        <v>1</v>
      </c>
      <c r="CD19" s="395">
        <v>0</v>
      </c>
      <c r="CE19" s="387">
        <f>1-CD19/1</f>
        <v>1</v>
      </c>
      <c r="CF19" s="73"/>
      <c r="CG19" s="28">
        <f t="shared" si="23"/>
        <v>1</v>
      </c>
      <c r="CH19" s="73"/>
      <c r="CI19" s="48"/>
      <c r="CJ19" s="36">
        <v>1</v>
      </c>
      <c r="CK19" s="28">
        <f t="shared" si="24"/>
        <v>0</v>
      </c>
      <c r="CL19" s="388">
        <f t="shared" si="25"/>
        <v>9</v>
      </c>
      <c r="CM19" s="28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1</v>
      </c>
      <c r="CS19" s="38">
        <f t="shared" si="29"/>
        <v>0.6666666666666667</v>
      </c>
      <c r="CT19" s="394">
        <v>0</v>
      </c>
      <c r="CU19" s="381">
        <f t="shared" si="30"/>
        <v>1</v>
      </c>
      <c r="CV19" s="393">
        <v>3</v>
      </c>
      <c r="CW19" s="165">
        <f t="shared" si="31"/>
        <v>0.4</v>
      </c>
      <c r="CX19" s="393">
        <f>2+3+2+1</f>
        <v>8</v>
      </c>
      <c r="CY19" s="165">
        <f t="shared" si="32"/>
        <v>0.2727272727272727</v>
      </c>
      <c r="CZ19" s="393">
        <v>4</v>
      </c>
      <c r="DA19" s="166">
        <f t="shared" si="33"/>
        <v>0.5</v>
      </c>
      <c r="DB19" s="388">
        <f t="shared" si="34"/>
        <v>16</v>
      </c>
      <c r="DC19" s="165">
        <f t="shared" si="35"/>
        <v>0.40740740740740744</v>
      </c>
      <c r="DD19" s="396">
        <v>0</v>
      </c>
      <c r="DE19" s="69">
        <v>1</v>
      </c>
      <c r="DF19" s="394">
        <v>7</v>
      </c>
      <c r="DG19" s="155">
        <f t="shared" si="36"/>
        <v>0.5</v>
      </c>
      <c r="DH19" s="73">
        <v>7</v>
      </c>
      <c r="DI19" s="38">
        <f t="shared" si="37"/>
        <v>0.8444444444444444</v>
      </c>
      <c r="DJ19" s="66">
        <v>0</v>
      </c>
      <c r="DK19" s="69">
        <v>1</v>
      </c>
      <c r="DL19" s="394">
        <v>4</v>
      </c>
      <c r="DM19" s="397">
        <v>0.3</v>
      </c>
      <c r="DN19" s="385">
        <f t="shared" si="38"/>
        <v>18</v>
      </c>
      <c r="DO19" s="390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22.572721696223244</v>
      </c>
      <c r="EQ19" s="427">
        <v>7</v>
      </c>
      <c r="ER19" s="428">
        <v>1.6145885195028822</v>
      </c>
      <c r="ES19" s="53" t="s">
        <v>117</v>
      </c>
      <c r="ET19" s="80"/>
      <c r="EU19" s="54">
        <v>22.28579767269808</v>
      </c>
      <c r="EV19" s="54">
        <v>7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6">
        <v>2502</v>
      </c>
      <c r="AO20" s="66">
        <v>2638.2</v>
      </c>
      <c r="AP20" s="58">
        <f t="shared" si="10"/>
        <v>0.9483738912895157</v>
      </c>
      <c r="AQ20" s="391">
        <v>1</v>
      </c>
      <c r="AR20" s="69">
        <f>AT20*100/AT42</f>
        <v>3.2400009511891037</v>
      </c>
      <c r="AS20" s="144">
        <v>12398.81</v>
      </c>
      <c r="AT20" s="66">
        <v>12398.8</v>
      </c>
      <c r="AU20" s="66">
        <v>4561.4</v>
      </c>
      <c r="AV20" s="26">
        <f t="shared" si="11"/>
        <v>0.36789014429610584</v>
      </c>
      <c r="AW20" s="35">
        <v>1</v>
      </c>
      <c r="AX20" s="66">
        <v>2247.42</v>
      </c>
      <c r="AY20" s="66">
        <f t="shared" si="12"/>
        <v>89.82494004796163</v>
      </c>
      <c r="AZ20" s="66">
        <f t="shared" si="13"/>
        <v>49.270399438768806</v>
      </c>
      <c r="BA20" s="35">
        <v>0</v>
      </c>
      <c r="BB20" s="35">
        <v>1</v>
      </c>
      <c r="BC20" s="392">
        <v>3259</v>
      </c>
      <c r="BD20" s="36">
        <f t="shared" si="42"/>
        <v>3804.482970236269</v>
      </c>
      <c r="BE20" s="58">
        <f>BD20/BD29*100%</f>
        <v>0.8425986255928579</v>
      </c>
      <c r="BF20" s="35">
        <v>1</v>
      </c>
      <c r="BG20" s="68">
        <f>BD20*100/BD42</f>
        <v>99.62190769219197</v>
      </c>
      <c r="BH20" s="69">
        <f t="shared" si="14"/>
        <v>37.15310711430855</v>
      </c>
      <c r="BI20" s="69">
        <f t="shared" si="15"/>
        <v>7.497263767461367</v>
      </c>
      <c r="BJ20" s="66">
        <f>929570.74/1000</f>
        <v>929.57074</v>
      </c>
      <c r="BK20" s="66">
        <f t="shared" si="16"/>
        <v>285.23189321877874</v>
      </c>
      <c r="BL20" s="58">
        <f>BK20/BK29*100%</f>
        <v>0.17313170614932274</v>
      </c>
      <c r="BM20" s="68">
        <v>0</v>
      </c>
      <c r="BN20" s="73">
        <v>143.2</v>
      </c>
      <c r="BO20" s="71">
        <v>65.51</v>
      </c>
      <c r="BP20" s="58">
        <f>BO20/(BN20+BO20)</f>
        <v>0.31388050404868006</v>
      </c>
      <c r="BQ20" s="208">
        <v>1</v>
      </c>
      <c r="BR20" s="38">
        <v>1</v>
      </c>
      <c r="BS20" s="66">
        <v>1268.215</v>
      </c>
      <c r="BT20" s="61">
        <f t="shared" si="18"/>
        <v>0.10228530180340033</v>
      </c>
      <c r="BU20" s="383">
        <f t="shared" si="19"/>
        <v>0.20457060360680066</v>
      </c>
      <c r="BV20" s="169">
        <v>0</v>
      </c>
      <c r="BW20" s="166">
        <f t="shared" si="20"/>
        <v>1</v>
      </c>
      <c r="BX20" s="393">
        <f>3+1+1</f>
        <v>5</v>
      </c>
      <c r="BY20" s="166">
        <f t="shared" si="21"/>
        <v>0.5833333333333333</v>
      </c>
      <c r="BZ20" s="394">
        <v>1</v>
      </c>
      <c r="CA20" s="381">
        <v>0</v>
      </c>
      <c r="CB20" s="394">
        <v>4</v>
      </c>
      <c r="CC20" s="28">
        <f t="shared" si="22"/>
        <v>0</v>
      </c>
      <c r="CD20" s="395">
        <v>1</v>
      </c>
      <c r="CE20" s="387">
        <v>0.5</v>
      </c>
      <c r="CF20" s="73">
        <v>1</v>
      </c>
      <c r="CG20" s="28">
        <f t="shared" si="23"/>
        <v>0</v>
      </c>
      <c r="CH20" s="73"/>
      <c r="CI20" s="48"/>
      <c r="CJ20" s="36"/>
      <c r="CK20" s="28">
        <f t="shared" si="24"/>
        <v>1</v>
      </c>
      <c r="CL20" s="388">
        <f t="shared" si="25"/>
        <v>12</v>
      </c>
      <c r="CM20" s="28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1</v>
      </c>
      <c r="CS20" s="38">
        <f t="shared" si="29"/>
        <v>0.6666666666666667</v>
      </c>
      <c r="CT20" s="394">
        <v>0</v>
      </c>
      <c r="CU20" s="381">
        <f t="shared" si="30"/>
        <v>1</v>
      </c>
      <c r="CV20" s="393">
        <v>2</v>
      </c>
      <c r="CW20" s="165">
        <f t="shared" si="31"/>
        <v>0.6</v>
      </c>
      <c r="CX20" s="393">
        <f>2+3+1+1</f>
        <v>7</v>
      </c>
      <c r="CY20" s="165">
        <f t="shared" si="32"/>
        <v>0.36363636363636365</v>
      </c>
      <c r="CZ20" s="393">
        <v>0</v>
      </c>
      <c r="DA20" s="166">
        <f t="shared" si="33"/>
        <v>1</v>
      </c>
      <c r="DB20" s="388">
        <f t="shared" si="34"/>
        <v>10</v>
      </c>
      <c r="DC20" s="165">
        <f t="shared" si="35"/>
        <v>0.6296296296296297</v>
      </c>
      <c r="DD20" s="396">
        <v>0</v>
      </c>
      <c r="DE20" s="69">
        <v>1</v>
      </c>
      <c r="DF20" s="394">
        <v>7</v>
      </c>
      <c r="DG20" s="155">
        <f t="shared" si="36"/>
        <v>0.5</v>
      </c>
      <c r="DH20" s="73">
        <v>4</v>
      </c>
      <c r="DI20" s="38">
        <f t="shared" si="37"/>
        <v>0.9111111111111111</v>
      </c>
      <c r="DJ20" s="66">
        <v>1</v>
      </c>
      <c r="DK20" s="69">
        <v>0</v>
      </c>
      <c r="DL20" s="394">
        <v>2</v>
      </c>
      <c r="DM20" s="397">
        <v>0.6666666666666667</v>
      </c>
      <c r="DN20" s="385">
        <f t="shared" si="38"/>
        <v>14</v>
      </c>
      <c r="DO20" s="390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77">
        <f t="shared" si="41"/>
        <v>21.476923308607326</v>
      </c>
      <c r="EQ20" s="24">
        <v>20</v>
      </c>
      <c r="ER20" s="428">
        <v>1.6145885195028822</v>
      </c>
      <c r="ES20" s="52" t="s">
        <v>116</v>
      </c>
      <c r="EU20" s="54">
        <v>21.28406506910028</v>
      </c>
      <c r="EV20" s="54">
        <v>20</v>
      </c>
      <c r="EW20" s="54">
        <v>1.552704073700215</v>
      </c>
      <c r="EX20" s="54" t="s">
        <v>116</v>
      </c>
    </row>
    <row r="21" spans="1:154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6">
        <v>2301.6</v>
      </c>
      <c r="AO21" s="66">
        <v>3100.6</v>
      </c>
      <c r="AP21" s="58">
        <f t="shared" si="10"/>
        <v>0.7423079403986325</v>
      </c>
      <c r="AQ21" s="391">
        <v>1</v>
      </c>
      <c r="AR21" s="69">
        <f>AT21*100/AT48</f>
        <v>3.628237668708674</v>
      </c>
      <c r="AS21" s="144">
        <v>13884.46</v>
      </c>
      <c r="AT21" s="66">
        <v>13884.5</v>
      </c>
      <c r="AU21" s="66">
        <v>6503.8</v>
      </c>
      <c r="AV21" s="26">
        <f t="shared" si="11"/>
        <v>0.46842297071690225</v>
      </c>
      <c r="AW21" s="35">
        <v>1</v>
      </c>
      <c r="AX21" s="66">
        <v>2258.79</v>
      </c>
      <c r="AY21" s="66">
        <f t="shared" si="12"/>
        <v>98.13998957247132</v>
      </c>
      <c r="AZ21" s="66">
        <f t="shared" si="13"/>
        <v>34.73031151019404</v>
      </c>
      <c r="BA21" s="35">
        <v>0</v>
      </c>
      <c r="BB21" s="35">
        <v>1</v>
      </c>
      <c r="BC21" s="392">
        <v>4353</v>
      </c>
      <c r="BD21" s="36">
        <f t="shared" si="42"/>
        <v>3189.6301401332416</v>
      </c>
      <c r="BE21" s="58">
        <f>BD21/BD51*100%</f>
        <v>0.8352174050416462</v>
      </c>
      <c r="BF21" s="35">
        <v>0.8</v>
      </c>
      <c r="BG21" s="68">
        <f>BD21*100/BD48</f>
        <v>83.52174050416463</v>
      </c>
      <c r="BH21" s="69">
        <f t="shared" si="14"/>
        <v>158.001913451512</v>
      </c>
      <c r="BI21" s="69">
        <f t="shared" si="15"/>
        <v>26.191595232093345</v>
      </c>
      <c r="BJ21" s="66">
        <f>3636572.04/1000</f>
        <v>3636.57204</v>
      </c>
      <c r="BK21" s="66">
        <f t="shared" si="16"/>
        <v>835.4174224672639</v>
      </c>
      <c r="BL21" s="58">
        <f>BK21/BK51*100%</f>
        <v>1.2393169048391033</v>
      </c>
      <c r="BM21" s="68">
        <v>1</v>
      </c>
      <c r="BN21" s="73">
        <v>1246.7</v>
      </c>
      <c r="BO21" s="71">
        <v>128.08</v>
      </c>
      <c r="BP21" s="58">
        <f>BO21/(BN21+BO21)</f>
        <v>0.0931639971486347</v>
      </c>
      <c r="BQ21" s="208">
        <v>1</v>
      </c>
      <c r="BR21" s="38">
        <v>1</v>
      </c>
      <c r="BS21" s="66">
        <v>606.49</v>
      </c>
      <c r="BT21" s="61">
        <f t="shared" si="18"/>
        <v>0.043681083222298245</v>
      </c>
      <c r="BU21" s="383">
        <f t="shared" si="19"/>
        <v>0.08736216644459649</v>
      </c>
      <c r="BV21" s="169">
        <v>0</v>
      </c>
      <c r="BW21" s="166">
        <f t="shared" si="20"/>
        <v>1</v>
      </c>
      <c r="BX21" s="393">
        <f>3+2+2</f>
        <v>7</v>
      </c>
      <c r="BY21" s="166">
        <f t="shared" si="21"/>
        <v>0.41666666666666663</v>
      </c>
      <c r="BZ21" s="394">
        <v>0</v>
      </c>
      <c r="CA21" s="381">
        <v>1</v>
      </c>
      <c r="CB21" s="394">
        <v>1</v>
      </c>
      <c r="CC21" s="28">
        <f t="shared" si="22"/>
        <v>0.75</v>
      </c>
      <c r="CD21" s="395">
        <v>0</v>
      </c>
      <c r="CE21" s="387">
        <f>1-CD21/1</f>
        <v>1</v>
      </c>
      <c r="CF21" s="73">
        <v>1</v>
      </c>
      <c r="CG21" s="28">
        <f t="shared" si="23"/>
        <v>0</v>
      </c>
      <c r="CH21" s="73"/>
      <c r="CI21" s="48"/>
      <c r="CJ21" s="36">
        <v>1</v>
      </c>
      <c r="CK21" s="28">
        <f t="shared" si="24"/>
        <v>0</v>
      </c>
      <c r="CL21" s="388">
        <f t="shared" si="25"/>
        <v>10</v>
      </c>
      <c r="CM21" s="28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0</v>
      </c>
      <c r="CS21" s="38">
        <f t="shared" si="29"/>
        <v>1</v>
      </c>
      <c r="CT21" s="394">
        <v>0</v>
      </c>
      <c r="CU21" s="381">
        <f t="shared" si="30"/>
        <v>1</v>
      </c>
      <c r="CV21" s="393">
        <v>3</v>
      </c>
      <c r="CW21" s="165">
        <f t="shared" si="31"/>
        <v>0.4</v>
      </c>
      <c r="CX21" s="393">
        <f>4+2+1+3</f>
        <v>10</v>
      </c>
      <c r="CY21" s="165">
        <f t="shared" si="32"/>
        <v>0.09090909090909094</v>
      </c>
      <c r="CZ21" s="393">
        <v>6</v>
      </c>
      <c r="DA21" s="166">
        <f t="shared" si="33"/>
        <v>0.25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3</v>
      </c>
      <c r="DG21" s="155">
        <f t="shared" si="36"/>
        <v>0.7857142857142857</v>
      </c>
      <c r="DH21" s="73">
        <v>7</v>
      </c>
      <c r="DI21" s="38">
        <f t="shared" si="37"/>
        <v>0.8444444444444444</v>
      </c>
      <c r="DJ21" s="66">
        <v>1</v>
      </c>
      <c r="DK21" s="69">
        <v>0</v>
      </c>
      <c r="DL21" s="394">
        <v>5</v>
      </c>
      <c r="DM21" s="397">
        <v>0.16</v>
      </c>
      <c r="DN21" s="385">
        <f t="shared" si="38"/>
        <v>17</v>
      </c>
      <c r="DO21" s="390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23.266989694471295</v>
      </c>
      <c r="EQ21" s="427">
        <v>4</v>
      </c>
      <c r="ER21" s="428">
        <v>1.6145885195028822</v>
      </c>
      <c r="ES21" s="53" t="s">
        <v>117</v>
      </c>
      <c r="ET21" s="80"/>
      <c r="EU21" s="54">
        <v>23.200326869018454</v>
      </c>
      <c r="EV21" s="54">
        <v>4</v>
      </c>
      <c r="EW21" s="54">
        <v>1.552704073700215</v>
      </c>
      <c r="EX21" s="54" t="s">
        <v>117</v>
      </c>
    </row>
    <row r="22" spans="1:154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6">
        <v>2166</v>
      </c>
      <c r="AO22" s="66">
        <v>2572.5</v>
      </c>
      <c r="AP22" s="58">
        <f t="shared" si="10"/>
        <v>0.8419825072886298</v>
      </c>
      <c r="AQ22" s="391">
        <v>1</v>
      </c>
      <c r="AR22" s="69">
        <f>AT22*100/AT54</f>
        <v>3.211700462189057</v>
      </c>
      <c r="AS22" s="144">
        <v>12290.45</v>
      </c>
      <c r="AT22" s="66">
        <v>12290.5</v>
      </c>
      <c r="AU22" s="66">
        <v>4132.4</v>
      </c>
      <c r="AV22" s="26">
        <f t="shared" si="11"/>
        <v>0.33622853516348056</v>
      </c>
      <c r="AW22" s="35">
        <v>1</v>
      </c>
      <c r="AX22" s="66">
        <v>2164.17</v>
      </c>
      <c r="AY22" s="66">
        <f t="shared" si="12"/>
        <v>99.91551246537396</v>
      </c>
      <c r="AZ22" s="66">
        <f t="shared" si="13"/>
        <v>52.3707772722873</v>
      </c>
      <c r="BA22" s="35">
        <v>0</v>
      </c>
      <c r="BB22" s="35">
        <v>1</v>
      </c>
      <c r="BC22" s="392">
        <v>2779</v>
      </c>
      <c r="BD22" s="36">
        <f t="shared" si="42"/>
        <v>4422.616048938467</v>
      </c>
      <c r="BE22" s="58">
        <f>BD22/BD57*100%</f>
        <v>1.1580796950130463</v>
      </c>
      <c r="BF22" s="35">
        <v>1</v>
      </c>
      <c r="BG22" s="68">
        <f>BD22*100/BD54</f>
        <v>115.80796950130464</v>
      </c>
      <c r="BH22" s="69">
        <f t="shared" si="14"/>
        <v>64.66352585410895</v>
      </c>
      <c r="BI22" s="69">
        <f t="shared" si="15"/>
        <v>11.395890891338837</v>
      </c>
      <c r="BJ22" s="66">
        <f>1400611.97/1000</f>
        <v>1400.61197</v>
      </c>
      <c r="BK22" s="66">
        <f t="shared" si="16"/>
        <v>503.99854983807126</v>
      </c>
      <c r="BL22" s="58">
        <f>BK22/BK57*100%</f>
        <v>0.7476668621346483</v>
      </c>
      <c r="BM22" s="68">
        <v>0</v>
      </c>
      <c r="BN22" s="73">
        <v>0</v>
      </c>
      <c r="BO22" s="71">
        <v>0</v>
      </c>
      <c r="BP22" s="58"/>
      <c r="BQ22" s="208"/>
      <c r="BR22" s="38">
        <v>1</v>
      </c>
      <c r="BS22" s="66">
        <v>1562.735</v>
      </c>
      <c r="BT22" s="61">
        <f t="shared" si="18"/>
        <v>0.12714983117041617</v>
      </c>
      <c r="BU22" s="383">
        <f t="shared" si="19"/>
        <v>0.25429966234083234</v>
      </c>
      <c r="BV22" s="169">
        <v>0</v>
      </c>
      <c r="BW22" s="166">
        <f t="shared" si="20"/>
        <v>1</v>
      </c>
      <c r="BX22" s="393">
        <f>2+1+1</f>
        <v>4</v>
      </c>
      <c r="BY22" s="166">
        <f t="shared" si="21"/>
        <v>0.6666666666666667</v>
      </c>
      <c r="BZ22" s="394">
        <v>0</v>
      </c>
      <c r="CA22" s="381">
        <v>1</v>
      </c>
      <c r="CB22" s="394">
        <v>0</v>
      </c>
      <c r="CC22" s="28">
        <f t="shared" si="22"/>
        <v>1</v>
      </c>
      <c r="CD22" s="395">
        <v>0</v>
      </c>
      <c r="CE22" s="387">
        <f>1-CD22/1</f>
        <v>1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5</v>
      </c>
      <c r="CM22" s="28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2</v>
      </c>
      <c r="CS22" s="38">
        <f t="shared" si="29"/>
        <v>0.33333333333333337</v>
      </c>
      <c r="CT22" s="394">
        <v>1</v>
      </c>
      <c r="CU22" s="381">
        <f t="shared" si="30"/>
        <v>0.5</v>
      </c>
      <c r="CV22" s="393">
        <v>5</v>
      </c>
      <c r="CW22" s="165">
        <f t="shared" si="31"/>
        <v>0</v>
      </c>
      <c r="CX22" s="393">
        <f>2+4+1+2</f>
        <v>9</v>
      </c>
      <c r="CY22" s="165">
        <f t="shared" si="32"/>
        <v>0.18181818181818177</v>
      </c>
      <c r="CZ22" s="393">
        <v>2</v>
      </c>
      <c r="DA22" s="166">
        <f t="shared" si="33"/>
        <v>0.75</v>
      </c>
      <c r="DB22" s="388">
        <f t="shared" si="34"/>
        <v>19</v>
      </c>
      <c r="DC22" s="165">
        <f t="shared" si="35"/>
        <v>0.2962962962962963</v>
      </c>
      <c r="DD22" s="396">
        <v>2</v>
      </c>
      <c r="DE22" s="69">
        <v>0</v>
      </c>
      <c r="DF22" s="394">
        <v>10</v>
      </c>
      <c r="DG22" s="155">
        <f t="shared" si="36"/>
        <v>0.2857142857142857</v>
      </c>
      <c r="DH22" s="73">
        <v>4</v>
      </c>
      <c r="DI22" s="38">
        <f t="shared" si="37"/>
        <v>0.9111111111111111</v>
      </c>
      <c r="DJ22" s="66">
        <v>0</v>
      </c>
      <c r="DK22" s="69">
        <v>1</v>
      </c>
      <c r="DL22" s="394">
        <v>5</v>
      </c>
      <c r="DM22" s="397">
        <v>0.5</v>
      </c>
      <c r="DN22" s="385">
        <f t="shared" si="38"/>
        <v>21</v>
      </c>
      <c r="DO22" s="390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21.275345817876964</v>
      </c>
      <c r="EQ22" s="427">
        <v>15</v>
      </c>
      <c r="ER22" s="428">
        <v>1.6145885195028822</v>
      </c>
      <c r="ES22" s="53" t="s">
        <v>117</v>
      </c>
      <c r="EU22" s="54">
        <v>21.197252457964836</v>
      </c>
      <c r="EV22" s="54">
        <v>15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6">
        <v>2542.5</v>
      </c>
      <c r="AO23" s="66">
        <v>3604.1</v>
      </c>
      <c r="AP23" s="58">
        <f t="shared" si="10"/>
        <v>0.7054465747343304</v>
      </c>
      <c r="AQ23" s="391">
        <v>1</v>
      </c>
      <c r="AR23" s="69">
        <f>AT23*100/AT56</f>
        <v>4.216589940025436</v>
      </c>
      <c r="AS23" s="144">
        <v>16136.02</v>
      </c>
      <c r="AT23" s="66">
        <v>16136</v>
      </c>
      <c r="AU23" s="66">
        <v>6007.9</v>
      </c>
      <c r="AV23" s="26">
        <f t="shared" si="11"/>
        <v>0.3723284924039509</v>
      </c>
      <c r="AW23" s="35">
        <v>1</v>
      </c>
      <c r="AX23" s="66">
        <v>2454.23</v>
      </c>
      <c r="AY23" s="66">
        <f t="shared" si="12"/>
        <v>96.52822025565388</v>
      </c>
      <c r="AZ23" s="66">
        <f t="shared" si="13"/>
        <v>40.850047437540574</v>
      </c>
      <c r="BA23" s="35">
        <v>0</v>
      </c>
      <c r="BB23" s="35">
        <v>1</v>
      </c>
      <c r="BC23" s="392">
        <v>6685</v>
      </c>
      <c r="BD23" s="36">
        <f t="shared" si="42"/>
        <v>2413.7651458489154</v>
      </c>
      <c r="BE23" s="58">
        <f>BD23/BD59*100%</f>
        <v>0.6320540542082054</v>
      </c>
      <c r="BF23" s="35">
        <v>0</v>
      </c>
      <c r="BG23" s="68">
        <f>BD23*100/BD56</f>
        <v>63.20540542082054</v>
      </c>
      <c r="BH23" s="69">
        <f t="shared" si="14"/>
        <v>139.10756302851527</v>
      </c>
      <c r="BI23" s="69">
        <f t="shared" si="15"/>
        <v>21.918751797223603</v>
      </c>
      <c r="BJ23" s="66">
        <f>3536809.79/1000</f>
        <v>3536.8097900000002</v>
      </c>
      <c r="BK23" s="66">
        <f t="shared" si="16"/>
        <v>529.0665355273</v>
      </c>
      <c r="BL23" s="58">
        <f>BK23/BK59*100%</f>
        <v>0.7848544735004421</v>
      </c>
      <c r="BM23" s="68">
        <v>0</v>
      </c>
      <c r="BN23" s="73">
        <v>861.9</v>
      </c>
      <c r="BO23" s="71">
        <v>273.21</v>
      </c>
      <c r="BP23" s="58">
        <f>BO23/(BN23+BO23)</f>
        <v>0.24069032957158337</v>
      </c>
      <c r="BQ23" s="208">
        <v>1</v>
      </c>
      <c r="BR23" s="38">
        <v>1</v>
      </c>
      <c r="BS23" s="66">
        <v>3285.57563</v>
      </c>
      <c r="BT23" s="61">
        <f t="shared" si="18"/>
        <v>0.2036177262022806</v>
      </c>
      <c r="BU23" s="383">
        <f t="shared" si="19"/>
        <v>0.4072354524045612</v>
      </c>
      <c r="BV23" s="169">
        <v>0.6703077442774636</v>
      </c>
      <c r="BW23" s="166">
        <f t="shared" si="20"/>
        <v>0.9932969225572253</v>
      </c>
      <c r="BX23" s="393">
        <f>4+3+2</f>
        <v>9</v>
      </c>
      <c r="BY23" s="166">
        <f t="shared" si="21"/>
        <v>0.25</v>
      </c>
      <c r="BZ23" s="394">
        <v>0</v>
      </c>
      <c r="CA23" s="381">
        <v>1</v>
      </c>
      <c r="CB23" s="394">
        <v>1</v>
      </c>
      <c r="CC23" s="28">
        <f t="shared" si="22"/>
        <v>0.75</v>
      </c>
      <c r="CD23" s="395">
        <v>1</v>
      </c>
      <c r="CE23" s="387">
        <v>0.5</v>
      </c>
      <c r="CF23" s="73"/>
      <c r="CG23" s="28">
        <f t="shared" si="23"/>
        <v>1</v>
      </c>
      <c r="CH23" s="73"/>
      <c r="CI23" s="48"/>
      <c r="CJ23" s="66">
        <v>1</v>
      </c>
      <c r="CK23" s="28">
        <f t="shared" si="24"/>
        <v>0</v>
      </c>
      <c r="CL23" s="388">
        <f t="shared" si="25"/>
        <v>12</v>
      </c>
      <c r="CM23" s="28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0</v>
      </c>
      <c r="CS23" s="38">
        <f t="shared" si="29"/>
        <v>1</v>
      </c>
      <c r="CT23" s="394">
        <v>0</v>
      </c>
      <c r="CU23" s="381">
        <f t="shared" si="30"/>
        <v>1</v>
      </c>
      <c r="CV23" s="393">
        <v>1</v>
      </c>
      <c r="CW23" s="165">
        <f t="shared" si="31"/>
        <v>0.8</v>
      </c>
      <c r="CX23" s="393">
        <f>2+4+1+3</f>
        <v>10</v>
      </c>
      <c r="CY23" s="165">
        <f t="shared" si="32"/>
        <v>0.09090909090909094</v>
      </c>
      <c r="CZ23" s="393">
        <v>7</v>
      </c>
      <c r="DA23" s="166">
        <f t="shared" si="33"/>
        <v>0.125</v>
      </c>
      <c r="DB23" s="388">
        <f t="shared" si="34"/>
        <v>18</v>
      </c>
      <c r="DC23" s="165">
        <f t="shared" si="35"/>
        <v>0.33333333333333337</v>
      </c>
      <c r="DD23" s="396">
        <v>0</v>
      </c>
      <c r="DE23" s="69">
        <v>0.5</v>
      </c>
      <c r="DF23" s="394">
        <v>4</v>
      </c>
      <c r="DG23" s="155">
        <f t="shared" si="36"/>
        <v>0.7142857142857143</v>
      </c>
      <c r="DH23" s="73">
        <v>1</v>
      </c>
      <c r="DI23" s="38">
        <f t="shared" si="37"/>
        <v>0.9777777777777777</v>
      </c>
      <c r="DJ23" s="66">
        <v>0</v>
      </c>
      <c r="DK23" s="69">
        <v>0</v>
      </c>
      <c r="DL23" s="394">
        <v>3</v>
      </c>
      <c r="DM23" s="397">
        <v>0</v>
      </c>
      <c r="DN23" s="385">
        <f t="shared" si="38"/>
        <v>8</v>
      </c>
      <c r="DO23" s="390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21.951043091068193</v>
      </c>
      <c r="EQ23" s="427">
        <v>12</v>
      </c>
      <c r="ER23" s="428">
        <v>1.6145885195028822</v>
      </c>
      <c r="ES23" s="53" t="s">
        <v>117</v>
      </c>
      <c r="EU23" s="54">
        <v>21.545696582639835</v>
      </c>
      <c r="EV23" s="54">
        <v>13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6">
        <v>1924.1</v>
      </c>
      <c r="AO24" s="66">
        <v>2204.1</v>
      </c>
      <c r="AP24" s="58">
        <f t="shared" si="10"/>
        <v>0.8729640215961163</v>
      </c>
      <c r="AQ24" s="391">
        <v>1</v>
      </c>
      <c r="AR24" s="69">
        <f>AT24*100/AT53</f>
        <v>2.107563286086586</v>
      </c>
      <c r="AS24" s="144">
        <v>8065.24</v>
      </c>
      <c r="AT24" s="66">
        <v>8065.2</v>
      </c>
      <c r="AU24" s="66">
        <v>4377.7</v>
      </c>
      <c r="AV24" s="26">
        <f t="shared" si="11"/>
        <v>0.5427860795215022</v>
      </c>
      <c r="AW24" s="35">
        <v>0.8</v>
      </c>
      <c r="AX24" s="66">
        <v>1878.09</v>
      </c>
      <c r="AY24" s="66">
        <f t="shared" si="12"/>
        <v>97.60875214385948</v>
      </c>
      <c r="AZ24" s="66">
        <f t="shared" si="13"/>
        <v>42.90129520067616</v>
      </c>
      <c r="BA24" s="35">
        <v>0</v>
      </c>
      <c r="BB24" s="35">
        <v>1</v>
      </c>
      <c r="BC24" s="392">
        <v>1846</v>
      </c>
      <c r="BD24" s="36">
        <f t="shared" si="42"/>
        <v>4369.035752979415</v>
      </c>
      <c r="BE24" s="58">
        <f>BD24/BD57*100%</f>
        <v>1.1440494802902779</v>
      </c>
      <c r="BF24" s="35">
        <v>1</v>
      </c>
      <c r="BG24" s="68">
        <f>BD24*100/BD53</f>
        <v>114.40494802902779</v>
      </c>
      <c r="BH24" s="69">
        <f t="shared" si="14"/>
        <v>111.37403565303258</v>
      </c>
      <c r="BI24" s="69">
        <f t="shared" si="15"/>
        <v>26.5702998065764</v>
      </c>
      <c r="BJ24" s="66">
        <f>2142947.82/1000</f>
        <v>2142.94782</v>
      </c>
      <c r="BK24" s="66">
        <f t="shared" si="16"/>
        <v>1160.8601408450704</v>
      </c>
      <c r="BL24" s="58">
        <f>BK24/BK57*100%</f>
        <v>1.722101500414391</v>
      </c>
      <c r="BM24" s="68">
        <v>1</v>
      </c>
      <c r="BN24" s="73">
        <v>857.9</v>
      </c>
      <c r="BO24" s="71">
        <v>54.38</v>
      </c>
      <c r="BP24" s="58">
        <f>BO24/(BN24+BO24)</f>
        <v>0.05960889200684001</v>
      </c>
      <c r="BQ24" s="208">
        <v>1</v>
      </c>
      <c r="BR24" s="38">
        <v>1</v>
      </c>
      <c r="BS24" s="66">
        <v>65.562</v>
      </c>
      <c r="BT24" s="61">
        <f t="shared" si="18"/>
        <v>0.008128998660913555</v>
      </c>
      <c r="BU24" s="383">
        <f t="shared" si="19"/>
        <v>0.01625799732182711</v>
      </c>
      <c r="BV24" s="169">
        <v>0</v>
      </c>
      <c r="BW24" s="166">
        <f t="shared" si="20"/>
        <v>1</v>
      </c>
      <c r="BX24" s="393">
        <f>2+2+1</f>
        <v>5</v>
      </c>
      <c r="BY24" s="166">
        <f t="shared" si="21"/>
        <v>0.5833333333333333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36">
        <v>1</v>
      </c>
      <c r="CK24" s="28">
        <f t="shared" si="24"/>
        <v>0</v>
      </c>
      <c r="CL24" s="388">
        <f t="shared" si="25"/>
        <v>6</v>
      </c>
      <c r="CM24" s="28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0</v>
      </c>
      <c r="CS24" s="38">
        <f t="shared" si="29"/>
        <v>1</v>
      </c>
      <c r="CT24" s="394">
        <v>1</v>
      </c>
      <c r="CU24" s="381">
        <f t="shared" si="30"/>
        <v>0.5</v>
      </c>
      <c r="CV24" s="393">
        <v>2</v>
      </c>
      <c r="CW24" s="165">
        <f t="shared" si="31"/>
        <v>0.6</v>
      </c>
      <c r="CX24" s="393">
        <f>1+2+2</f>
        <v>5</v>
      </c>
      <c r="CY24" s="165">
        <f t="shared" si="32"/>
        <v>0.5454545454545454</v>
      </c>
      <c r="CZ24" s="393">
        <v>0</v>
      </c>
      <c r="DA24" s="166">
        <f t="shared" si="33"/>
        <v>1</v>
      </c>
      <c r="DB24" s="388">
        <f t="shared" si="34"/>
        <v>8</v>
      </c>
      <c r="DC24" s="165">
        <f t="shared" si="35"/>
        <v>0.7037037037037037</v>
      </c>
      <c r="DD24" s="396">
        <v>0</v>
      </c>
      <c r="DE24" s="69">
        <v>1</v>
      </c>
      <c r="DF24" s="394">
        <v>1</v>
      </c>
      <c r="DG24" s="155">
        <f t="shared" si="36"/>
        <v>0.9285714285714286</v>
      </c>
      <c r="DH24" s="73">
        <v>6</v>
      </c>
      <c r="DI24" s="38">
        <f t="shared" si="37"/>
        <v>0.8666666666666667</v>
      </c>
      <c r="DJ24" s="66">
        <v>1</v>
      </c>
      <c r="DK24" s="69">
        <v>0</v>
      </c>
      <c r="DL24" s="394">
        <v>2</v>
      </c>
      <c r="DM24" s="397">
        <v>0.7</v>
      </c>
      <c r="DN24" s="385">
        <f t="shared" si="38"/>
        <v>10</v>
      </c>
      <c r="DO24" s="390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22.12619980157656</v>
      </c>
      <c r="EQ24" s="427">
        <v>10</v>
      </c>
      <c r="ER24" s="428">
        <v>1.6145885195028822</v>
      </c>
      <c r="ES24" s="79" t="s">
        <v>117</v>
      </c>
      <c r="EU24" s="54">
        <v>22.12619982637446</v>
      </c>
      <c r="EV24" s="54">
        <v>9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133</v>
      </c>
      <c r="C25" s="57">
        <v>0</v>
      </c>
      <c r="D25" s="158">
        <v>1</v>
      </c>
      <c r="E25" s="57">
        <v>0</v>
      </c>
      <c r="F25" s="158">
        <v>1</v>
      </c>
      <c r="G25" s="189">
        <v>4543.4</v>
      </c>
      <c r="H25" s="185">
        <v>4921.76718</v>
      </c>
      <c r="I25" s="58">
        <f t="shared" si="1"/>
        <v>-0.08327842144649386</v>
      </c>
      <c r="J25" s="151">
        <v>0.6</v>
      </c>
      <c r="K25" s="189">
        <v>4921.76718</v>
      </c>
      <c r="L25" s="185">
        <v>7847.75328</v>
      </c>
      <c r="M25" s="58">
        <f t="shared" si="2"/>
        <v>0.627156206929074</v>
      </c>
      <c r="N25" s="59">
        <v>0.8</v>
      </c>
      <c r="O25" s="189">
        <v>4921.76718</v>
      </c>
      <c r="P25" s="185">
        <v>4225.543</v>
      </c>
      <c r="Q25" s="58">
        <f t="shared" si="3"/>
        <v>1.164765612372185</v>
      </c>
      <c r="R25" s="28">
        <v>1</v>
      </c>
      <c r="S25" s="189">
        <v>4921.76718</v>
      </c>
      <c r="T25" s="185">
        <v>4951.01553</v>
      </c>
      <c r="U25" s="61">
        <f t="shared" si="4"/>
        <v>0.994092454401976</v>
      </c>
      <c r="V25" s="155">
        <v>0</v>
      </c>
      <c r="W25" s="189">
        <v>529.0768</v>
      </c>
      <c r="X25" s="185">
        <v>890.9126</v>
      </c>
      <c r="Y25" s="61">
        <f t="shared" si="5"/>
        <v>1.6839003335621594</v>
      </c>
      <c r="Z25" s="155">
        <v>0</v>
      </c>
      <c r="AA25" s="189">
        <v>890.9126</v>
      </c>
      <c r="AB25" s="185">
        <v>4088.35474</v>
      </c>
      <c r="AC25" s="61">
        <f t="shared" si="6"/>
        <v>0.2179147008167887</v>
      </c>
      <c r="AD25" s="181">
        <f t="shared" si="7"/>
        <v>0.7820852991832112</v>
      </c>
      <c r="AE25" s="184">
        <v>2925.9861</v>
      </c>
      <c r="AF25" s="185">
        <v>7847.75328</v>
      </c>
      <c r="AG25" s="185">
        <v>124.2</v>
      </c>
      <c r="AH25" s="58">
        <f t="shared" si="8"/>
        <v>0.37883937533994716</v>
      </c>
      <c r="AI25" s="60">
        <v>0.8</v>
      </c>
      <c r="AJ25" s="195">
        <v>4000.9</v>
      </c>
      <c r="AK25" s="196">
        <v>1594</v>
      </c>
      <c r="AL25" s="196">
        <f t="shared" si="9"/>
        <v>2406.9</v>
      </c>
      <c r="AM25" s="147">
        <v>0</v>
      </c>
      <c r="AN25" s="66">
        <v>2131.7</v>
      </c>
      <c r="AO25" s="66">
        <v>2426.5</v>
      </c>
      <c r="AP25" s="58">
        <f t="shared" si="10"/>
        <v>0.8785081392952812</v>
      </c>
      <c r="AQ25" s="391">
        <v>1</v>
      </c>
      <c r="AR25" s="69">
        <f>AT25*100/AT56</f>
        <v>2.7025007127385385</v>
      </c>
      <c r="AS25" s="144">
        <v>10341.87</v>
      </c>
      <c r="AT25" s="66">
        <v>10341.9</v>
      </c>
      <c r="AU25" s="66">
        <v>3387.2</v>
      </c>
      <c r="AV25" s="26">
        <f t="shared" si="11"/>
        <v>0.3275229721510713</v>
      </c>
      <c r="AW25" s="35">
        <v>1</v>
      </c>
      <c r="AX25" s="66">
        <v>1923.64</v>
      </c>
      <c r="AY25" s="66">
        <f t="shared" si="12"/>
        <v>90.23971478162969</v>
      </c>
      <c r="AZ25" s="66">
        <f t="shared" si="13"/>
        <v>56.7914501653283</v>
      </c>
      <c r="BA25" s="35">
        <v>0</v>
      </c>
      <c r="BB25" s="35">
        <v>1</v>
      </c>
      <c r="BC25" s="392">
        <v>2347</v>
      </c>
      <c r="BD25" s="36">
        <f t="shared" si="42"/>
        <v>4406.420962931402</v>
      </c>
      <c r="BE25" s="58">
        <f>BD25/BD57*100%</f>
        <v>1.1538389469905554</v>
      </c>
      <c r="BF25" s="35">
        <v>1</v>
      </c>
      <c r="BG25" s="68">
        <f>BD25*100/BD56</f>
        <v>115.38389469905555</v>
      </c>
      <c r="BH25" s="69">
        <f t="shared" si="14"/>
        <v>58.1160350893653</v>
      </c>
      <c r="BI25" s="69">
        <f t="shared" si="15"/>
        <v>11.979032092748914</v>
      </c>
      <c r="BJ25" s="66">
        <f>1238859.52/1000</f>
        <v>1238.85952</v>
      </c>
      <c r="BK25" s="66">
        <f t="shared" si="16"/>
        <v>527.8481124840222</v>
      </c>
      <c r="BL25" s="58">
        <f>BK25/BK57*100%</f>
        <v>0.7830469791459193</v>
      </c>
      <c r="BM25" s="68">
        <v>0</v>
      </c>
      <c r="BN25" s="73">
        <v>0</v>
      </c>
      <c r="BO25" s="71">
        <v>0</v>
      </c>
      <c r="BP25" s="58"/>
      <c r="BQ25" s="208"/>
      <c r="BR25" s="38">
        <v>1</v>
      </c>
      <c r="BS25" s="66">
        <v>1250.607</v>
      </c>
      <c r="BT25" s="61">
        <f t="shared" si="18"/>
        <v>0.12092623212369101</v>
      </c>
      <c r="BU25" s="383">
        <f t="shared" si="19"/>
        <v>0.24185246424738202</v>
      </c>
      <c r="BV25" s="169">
        <v>0.9742866761891249</v>
      </c>
      <c r="BW25" s="166">
        <f t="shared" si="20"/>
        <v>0.9902571332381087</v>
      </c>
      <c r="BX25" s="393">
        <f>1+1+1</f>
        <v>3</v>
      </c>
      <c r="BY25" s="166">
        <f t="shared" si="21"/>
        <v>0.75</v>
      </c>
      <c r="BZ25" s="394">
        <v>0</v>
      </c>
      <c r="CA25" s="381">
        <v>1</v>
      </c>
      <c r="CB25" s="394">
        <v>1</v>
      </c>
      <c r="CC25" s="28">
        <f t="shared" si="22"/>
        <v>0.75</v>
      </c>
      <c r="CD25" s="395">
        <v>1</v>
      </c>
      <c r="CE25" s="387">
        <v>0.5</v>
      </c>
      <c r="CF25" s="73"/>
      <c r="CG25" s="28">
        <f t="shared" si="23"/>
        <v>1</v>
      </c>
      <c r="CH25" s="73"/>
      <c r="CI25" s="48"/>
      <c r="CJ25" s="36"/>
      <c r="CK25" s="28">
        <f t="shared" si="24"/>
        <v>1</v>
      </c>
      <c r="CL25" s="388">
        <f t="shared" si="25"/>
        <v>5</v>
      </c>
      <c r="CM25" s="28">
        <f t="shared" si="26"/>
        <v>0.75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1</v>
      </c>
      <c r="CU25" s="381">
        <f t="shared" si="30"/>
        <v>0.5</v>
      </c>
      <c r="CV25" s="393"/>
      <c r="CW25" s="165">
        <f t="shared" si="31"/>
        <v>1</v>
      </c>
      <c r="CX25" s="393">
        <f>3+2+2</f>
        <v>7</v>
      </c>
      <c r="CY25" s="165">
        <f t="shared" si="32"/>
        <v>0.36363636363636365</v>
      </c>
      <c r="CZ25" s="393">
        <v>0</v>
      </c>
      <c r="DA25" s="166">
        <f t="shared" si="33"/>
        <v>1</v>
      </c>
      <c r="DB25" s="388">
        <f t="shared" si="34"/>
        <v>8</v>
      </c>
      <c r="DC25" s="165">
        <f t="shared" si="35"/>
        <v>0.7037037037037037</v>
      </c>
      <c r="DD25" s="396">
        <v>1</v>
      </c>
      <c r="DE25" s="69">
        <v>0.5</v>
      </c>
      <c r="DF25" s="394">
        <v>7</v>
      </c>
      <c r="DG25" s="155">
        <f t="shared" si="36"/>
        <v>0.5</v>
      </c>
      <c r="DH25" s="73">
        <v>2</v>
      </c>
      <c r="DI25" s="38">
        <f t="shared" si="37"/>
        <v>0.9555555555555556</v>
      </c>
      <c r="DJ25" s="66">
        <v>1</v>
      </c>
      <c r="DK25" s="69">
        <v>0</v>
      </c>
      <c r="DL25" s="394">
        <v>4</v>
      </c>
      <c r="DM25" s="397">
        <v>0.3</v>
      </c>
      <c r="DN25" s="385">
        <f t="shared" si="38"/>
        <v>15</v>
      </c>
      <c r="DO25" s="390">
        <f t="shared" si="39"/>
        <v>0.7580645161290323</v>
      </c>
      <c r="DP25" s="175">
        <v>50</v>
      </c>
      <c r="DQ25" s="166">
        <f>1-DP25/(949)*100/100</f>
        <v>0.9473129610115911</v>
      </c>
      <c r="DR25" s="66">
        <v>1</v>
      </c>
      <c r="DS25" s="28">
        <f t="shared" si="40"/>
        <v>0.75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f>0+1</f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22.123276077513026</v>
      </c>
      <c r="EQ25" s="427">
        <v>11</v>
      </c>
      <c r="ER25" s="428">
        <v>1.6145885195028822</v>
      </c>
      <c r="ES25" s="79" t="s">
        <v>117</v>
      </c>
      <c r="EU25" s="54">
        <v>22.003913579326042</v>
      </c>
      <c r="EV25" s="54">
        <v>10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6">
        <v>2417.2</v>
      </c>
      <c r="AO26" s="66">
        <v>2763</v>
      </c>
      <c r="AP26" s="58">
        <f t="shared" si="10"/>
        <v>0.8748461816865725</v>
      </c>
      <c r="AQ26" s="391">
        <v>1</v>
      </c>
      <c r="AR26" s="69">
        <f>AT26*100/AT35</f>
        <v>2.769841765511503</v>
      </c>
      <c r="AS26" s="144">
        <v>10599.56</v>
      </c>
      <c r="AT26" s="66">
        <v>10599.6</v>
      </c>
      <c r="AU26" s="66">
        <v>5685.3</v>
      </c>
      <c r="AV26" s="26">
        <f t="shared" si="11"/>
        <v>0.536371321073705</v>
      </c>
      <c r="AW26" s="35">
        <v>0.8</v>
      </c>
      <c r="AX26" s="66">
        <v>2364.79</v>
      </c>
      <c r="AY26" s="66">
        <f t="shared" si="12"/>
        <v>97.83178884659938</v>
      </c>
      <c r="AZ26" s="66">
        <f t="shared" si="13"/>
        <v>41.59481469755334</v>
      </c>
      <c r="BA26" s="35">
        <v>0</v>
      </c>
      <c r="BB26" s="35">
        <v>1</v>
      </c>
      <c r="BC26" s="392">
        <v>2902</v>
      </c>
      <c r="BD26" s="36">
        <f t="shared" si="42"/>
        <v>3652.50172294969</v>
      </c>
      <c r="BE26" s="58">
        <f>BD26/BD34*100%</f>
        <v>0.9564221796652406</v>
      </c>
      <c r="BF26" s="35">
        <v>0.9</v>
      </c>
      <c r="BG26" s="68">
        <f>BD26*100/BD35</f>
        <v>95.64221796652406</v>
      </c>
      <c r="BH26" s="69">
        <f t="shared" si="14"/>
        <v>165.9804091510839</v>
      </c>
      <c r="BI26" s="69">
        <f t="shared" si="15"/>
        <v>37.85122504622816</v>
      </c>
      <c r="BJ26" s="66">
        <f>4012078.45/1000</f>
        <v>4012.07845</v>
      </c>
      <c r="BK26" s="66">
        <f t="shared" si="16"/>
        <v>1382.5218642315645</v>
      </c>
      <c r="BL26" s="58">
        <f>BK26/BK34*100%</f>
        <v>2.050930075879509</v>
      </c>
      <c r="BM26" s="68">
        <v>1</v>
      </c>
      <c r="BN26" s="73">
        <v>1675</v>
      </c>
      <c r="BO26" s="71">
        <v>146.59</v>
      </c>
      <c r="BP26" s="58">
        <f>BO26/(BN26+BO26)</f>
        <v>0.08047365213906532</v>
      </c>
      <c r="BQ26" s="208">
        <v>1</v>
      </c>
      <c r="BR26" s="38">
        <v>1</v>
      </c>
      <c r="BS26" s="66">
        <v>696.939</v>
      </c>
      <c r="BT26" s="61">
        <f t="shared" si="18"/>
        <v>0.06575144345069625</v>
      </c>
      <c r="BU26" s="383">
        <f t="shared" si="19"/>
        <v>0.1315028869013925</v>
      </c>
      <c r="BV26" s="169">
        <v>0</v>
      </c>
      <c r="BW26" s="166">
        <f t="shared" si="20"/>
        <v>1</v>
      </c>
      <c r="BX26" s="393">
        <f>3+2+1</f>
        <v>6</v>
      </c>
      <c r="BY26" s="166">
        <f t="shared" si="21"/>
        <v>0.5</v>
      </c>
      <c r="BZ26" s="394">
        <v>0</v>
      </c>
      <c r="CA26" s="381">
        <v>1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12</v>
      </c>
      <c r="CM26" s="28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2</v>
      </c>
      <c r="CW26" s="165">
        <f t="shared" si="31"/>
        <v>0.6</v>
      </c>
      <c r="CX26" s="393">
        <f>1+1+1+2</f>
        <v>5</v>
      </c>
      <c r="CY26" s="165">
        <f t="shared" si="32"/>
        <v>0.5454545454545454</v>
      </c>
      <c r="CZ26" s="393">
        <v>1</v>
      </c>
      <c r="DA26" s="166">
        <f t="shared" si="33"/>
        <v>0.875</v>
      </c>
      <c r="DB26" s="388">
        <f t="shared" si="34"/>
        <v>8</v>
      </c>
      <c r="DC26" s="165">
        <f t="shared" si="35"/>
        <v>0.7037037037037037</v>
      </c>
      <c r="DD26" s="396">
        <v>0</v>
      </c>
      <c r="DE26" s="69">
        <v>1</v>
      </c>
      <c r="DF26" s="394">
        <v>3</v>
      </c>
      <c r="DG26" s="155">
        <f t="shared" si="36"/>
        <v>0.7857142857142857</v>
      </c>
      <c r="DH26" s="73">
        <v>0</v>
      </c>
      <c r="DI26" s="38">
        <f t="shared" si="37"/>
        <v>1</v>
      </c>
      <c r="DJ26" s="66">
        <v>0</v>
      </c>
      <c r="DK26" s="69">
        <v>1</v>
      </c>
      <c r="DL26" s="394">
        <v>0</v>
      </c>
      <c r="DM26" s="397">
        <v>1</v>
      </c>
      <c r="DN26" s="385">
        <f t="shared" si="38"/>
        <v>3</v>
      </c>
      <c r="DO26" s="390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20.88470992189207</v>
      </c>
      <c r="EQ26" s="24">
        <v>22</v>
      </c>
      <c r="ER26" s="428">
        <v>1.6145885195028822</v>
      </c>
      <c r="ES26" s="77" t="s">
        <v>116</v>
      </c>
      <c r="EU26" s="54">
        <v>20.75320703499068</v>
      </c>
      <c r="EV26" s="54">
        <v>22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56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6">
        <v>1525.9</v>
      </c>
      <c r="AO27" s="66">
        <v>2211.3</v>
      </c>
      <c r="AP27" s="58">
        <f t="shared" si="10"/>
        <v>0.6900465789354678</v>
      </c>
      <c r="AQ27" s="391">
        <v>1</v>
      </c>
      <c r="AR27" s="69">
        <f>AT27*100/AT53</f>
        <v>1.8486778340796943</v>
      </c>
      <c r="AS27" s="144">
        <v>7074.51</v>
      </c>
      <c r="AT27" s="66">
        <v>7074.5</v>
      </c>
      <c r="AU27" s="66">
        <v>3980.6</v>
      </c>
      <c r="AV27" s="26">
        <f t="shared" si="11"/>
        <v>0.5626679444936822</v>
      </c>
      <c r="AW27" s="35">
        <v>0.8</v>
      </c>
      <c r="AX27" s="66">
        <v>1435.47</v>
      </c>
      <c r="AY27" s="66">
        <f t="shared" si="12"/>
        <v>94.07366144570418</v>
      </c>
      <c r="AZ27" s="66">
        <f t="shared" si="13"/>
        <v>36.06164899763855</v>
      </c>
      <c r="BA27" s="35">
        <v>0</v>
      </c>
      <c r="BB27" s="35">
        <v>1</v>
      </c>
      <c r="BC27" s="392">
        <v>1856</v>
      </c>
      <c r="BD27" s="36">
        <f t="shared" si="42"/>
        <v>3811.697198275862</v>
      </c>
      <c r="BE27" s="58">
        <f>BD27/BD41*100%</f>
        <v>0.9981081513781686</v>
      </c>
      <c r="BF27" s="35">
        <v>1</v>
      </c>
      <c r="BG27" s="68">
        <f>BD27*100/BD53</f>
        <v>99.81081513781686</v>
      </c>
      <c r="BH27" s="69">
        <f t="shared" si="14"/>
        <v>127.18876138672259</v>
      </c>
      <c r="BI27" s="69">
        <f t="shared" si="15"/>
        <v>27.433363629938512</v>
      </c>
      <c r="BJ27" s="66">
        <f>1940773.31/1000</f>
        <v>1940.77331</v>
      </c>
      <c r="BK27" s="66">
        <f t="shared" si="16"/>
        <v>1045.6752747844828</v>
      </c>
      <c r="BL27" s="58">
        <f>BK27/BK41*100%</f>
        <v>1.5512281766705258</v>
      </c>
      <c r="BM27" s="68">
        <v>1</v>
      </c>
      <c r="BN27" s="73">
        <v>720.4</v>
      </c>
      <c r="BO27" s="71">
        <v>63.9</v>
      </c>
      <c r="BP27" s="58">
        <f>BO27/(BN27+BO27)</f>
        <v>0.0814739257937014</v>
      </c>
      <c r="BQ27" s="208">
        <v>1</v>
      </c>
      <c r="BR27" s="38">
        <v>1</v>
      </c>
      <c r="BS27" s="66"/>
      <c r="BT27" s="61">
        <f t="shared" si="18"/>
        <v>0</v>
      </c>
      <c r="BU27" s="383">
        <f t="shared" si="19"/>
        <v>0</v>
      </c>
      <c r="BV27" s="169">
        <v>3.032018945521797</v>
      </c>
      <c r="BW27" s="166">
        <f t="shared" si="20"/>
        <v>0.969679810544782</v>
      </c>
      <c r="BX27" s="393">
        <f>4+2+3</f>
        <v>9</v>
      </c>
      <c r="BY27" s="166">
        <f t="shared" si="21"/>
        <v>0.25</v>
      </c>
      <c r="BZ27" s="394">
        <v>0</v>
      </c>
      <c r="CA27" s="381">
        <v>1</v>
      </c>
      <c r="CB27" s="394">
        <v>2</v>
      </c>
      <c r="CC27" s="28">
        <f t="shared" si="22"/>
        <v>0.5</v>
      </c>
      <c r="CD27" s="395">
        <v>1</v>
      </c>
      <c r="CE27" s="387">
        <v>0.5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12</v>
      </c>
      <c r="CM27" s="28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0</v>
      </c>
      <c r="CS27" s="38">
        <f t="shared" si="29"/>
        <v>1</v>
      </c>
      <c r="CT27" s="394">
        <v>0</v>
      </c>
      <c r="CU27" s="381">
        <f t="shared" si="30"/>
        <v>1</v>
      </c>
      <c r="CV27" s="393">
        <v>0</v>
      </c>
      <c r="CW27" s="165">
        <f t="shared" si="31"/>
        <v>1</v>
      </c>
      <c r="CX27" s="393">
        <f>3+3+2+3</f>
        <v>11</v>
      </c>
      <c r="CY27" s="165">
        <f t="shared" si="32"/>
        <v>0</v>
      </c>
      <c r="CZ27" s="393">
        <v>5</v>
      </c>
      <c r="DA27" s="166">
        <f t="shared" si="33"/>
        <v>0.375</v>
      </c>
      <c r="DB27" s="388">
        <f t="shared" si="34"/>
        <v>16</v>
      </c>
      <c r="DC27" s="165">
        <f t="shared" si="35"/>
        <v>0.40740740740740744</v>
      </c>
      <c r="DD27" s="396">
        <v>2</v>
      </c>
      <c r="DE27" s="69">
        <v>0</v>
      </c>
      <c r="DF27" s="394">
        <v>13</v>
      </c>
      <c r="DG27" s="155">
        <f t="shared" si="36"/>
        <v>0.0714285714285714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21</v>
      </c>
      <c r="DO27" s="390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4</v>
      </c>
      <c r="DS27" s="28">
        <f t="shared" si="40"/>
        <v>0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19.59098586130337</v>
      </c>
      <c r="EQ27" s="24">
        <v>24</v>
      </c>
      <c r="ER27" s="428">
        <v>1.6145885195028822</v>
      </c>
      <c r="ES27" s="77" t="s">
        <v>116</v>
      </c>
      <c r="ET27" s="409"/>
      <c r="EU27" s="409">
        <v>19.740985861303372</v>
      </c>
      <c r="EV27" s="409">
        <v>24</v>
      </c>
      <c r="EW27" s="409">
        <v>1.552704073700215</v>
      </c>
      <c r="EX27" s="409" t="s">
        <v>116</v>
      </c>
    </row>
    <row r="28" spans="1:154" s="54" customFormat="1" ht="18.75">
      <c r="A28" s="55">
        <f t="shared" si="0"/>
        <v>19</v>
      </c>
      <c r="B28" s="56" t="s">
        <v>136</v>
      </c>
      <c r="C28" s="57">
        <v>0</v>
      </c>
      <c r="D28" s="158">
        <v>1</v>
      </c>
      <c r="E28" s="57">
        <v>0</v>
      </c>
      <c r="F28" s="158">
        <v>1</v>
      </c>
      <c r="G28" s="189">
        <v>6835</v>
      </c>
      <c r="H28" s="185">
        <v>9894.43062</v>
      </c>
      <c r="I28" s="58">
        <f t="shared" si="1"/>
        <v>-0.4476123803950255</v>
      </c>
      <c r="J28" s="151">
        <v>0</v>
      </c>
      <c r="K28" s="189">
        <v>9894.43062</v>
      </c>
      <c r="L28" s="185">
        <v>23133.70256</v>
      </c>
      <c r="M28" s="58">
        <f t="shared" si="2"/>
        <v>0.4277063126552103</v>
      </c>
      <c r="N28" s="59">
        <v>0.5</v>
      </c>
      <c r="O28" s="189">
        <v>9894.43062</v>
      </c>
      <c r="P28" s="185">
        <v>9640.478</v>
      </c>
      <c r="Q28" s="58">
        <f t="shared" si="3"/>
        <v>1.0263423265941793</v>
      </c>
      <c r="R28" s="28">
        <v>1</v>
      </c>
      <c r="S28" s="189">
        <v>9894.43062</v>
      </c>
      <c r="T28" s="185">
        <v>7879.4086</v>
      </c>
      <c r="U28" s="61">
        <f t="shared" si="4"/>
        <v>1.2557326472446166</v>
      </c>
      <c r="V28" s="155">
        <v>1</v>
      </c>
      <c r="W28" s="189">
        <v>992.2754</v>
      </c>
      <c r="X28" s="185">
        <v>1785.3206</v>
      </c>
      <c r="Y28" s="61">
        <f t="shared" si="5"/>
        <v>1.7992188458970162</v>
      </c>
      <c r="Z28" s="155">
        <v>0</v>
      </c>
      <c r="AA28" s="189">
        <v>1785.3206</v>
      </c>
      <c r="AB28" s="185">
        <v>5910.33068</v>
      </c>
      <c r="AC28" s="61">
        <f t="shared" si="6"/>
        <v>0.30206780240593917</v>
      </c>
      <c r="AD28" s="181">
        <f t="shared" si="7"/>
        <v>0.6979321975940609</v>
      </c>
      <c r="AE28" s="184">
        <v>13239.27194</v>
      </c>
      <c r="AF28" s="185">
        <v>23133.70256</v>
      </c>
      <c r="AG28" s="185">
        <v>192.28</v>
      </c>
      <c r="AH28" s="58">
        <f t="shared" si="8"/>
        <v>0.5770902787468642</v>
      </c>
      <c r="AI28" s="60">
        <v>0.5</v>
      </c>
      <c r="AJ28" s="195">
        <v>118</v>
      </c>
      <c r="AK28" s="196">
        <v>486.4</v>
      </c>
      <c r="AL28" s="196">
        <f t="shared" si="9"/>
        <v>-368.4</v>
      </c>
      <c r="AM28" s="147">
        <v>1</v>
      </c>
      <c r="AN28" s="66">
        <v>2523.3</v>
      </c>
      <c r="AO28" s="66">
        <v>3009.4</v>
      </c>
      <c r="AP28" s="58">
        <f t="shared" si="10"/>
        <v>0.8384727852728119</v>
      </c>
      <c r="AQ28" s="391">
        <v>1</v>
      </c>
      <c r="AR28" s="69">
        <f>AT28*100/AT57</f>
        <v>5.911666412754923</v>
      </c>
      <c r="AS28" s="144">
        <v>22622.7</v>
      </c>
      <c r="AT28" s="66">
        <v>22622.7</v>
      </c>
      <c r="AU28" s="66">
        <v>7459.3</v>
      </c>
      <c r="AV28" s="26">
        <f t="shared" si="11"/>
        <v>0.3297263368209807</v>
      </c>
      <c r="AW28" s="35">
        <v>1</v>
      </c>
      <c r="AX28" s="66">
        <v>2478.18</v>
      </c>
      <c r="AY28" s="66">
        <f t="shared" si="12"/>
        <v>98.21186541433835</v>
      </c>
      <c r="AZ28" s="66">
        <f t="shared" si="13"/>
        <v>33.22268845602134</v>
      </c>
      <c r="BA28" s="35">
        <v>0</v>
      </c>
      <c r="BB28" s="35">
        <v>1</v>
      </c>
      <c r="BC28" s="392">
        <v>3682</v>
      </c>
      <c r="BD28" s="36">
        <f t="shared" si="42"/>
        <v>6144.133623030962</v>
      </c>
      <c r="BE28" s="58">
        <f>BD28/BD59*100%</f>
        <v>1.6088659547977182</v>
      </c>
      <c r="BF28" s="35">
        <v>1</v>
      </c>
      <c r="BG28" s="68">
        <f>BD28*100/BD57</f>
        <v>160.88659547977184</v>
      </c>
      <c r="BH28" s="69">
        <f t="shared" si="14"/>
        <v>184.11276701145323</v>
      </c>
      <c r="BI28" s="69">
        <f t="shared" si="15"/>
        <v>20.535645391575716</v>
      </c>
      <c r="BJ28" s="66">
        <f>4645717.45/1000</f>
        <v>4645.71745</v>
      </c>
      <c r="BK28" s="66">
        <f t="shared" si="16"/>
        <v>1261.7374932102118</v>
      </c>
      <c r="BL28" s="58">
        <f>BK28/BK59*100%</f>
        <v>1.8717500530293318</v>
      </c>
      <c r="BM28" s="68">
        <v>1</v>
      </c>
      <c r="BN28" s="73">
        <v>1404.4</v>
      </c>
      <c r="BO28" s="71">
        <v>529.48</v>
      </c>
      <c r="BP28" s="58">
        <f>BO28/(BN28+BO28)</f>
        <v>0.2737915485966037</v>
      </c>
      <c r="BQ28" s="208">
        <v>1</v>
      </c>
      <c r="BR28" s="38">
        <v>1</v>
      </c>
      <c r="BS28" s="66">
        <v>3774.6657</v>
      </c>
      <c r="BT28" s="61">
        <f t="shared" si="18"/>
        <v>0.16685301489212162</v>
      </c>
      <c r="BU28" s="383">
        <f t="shared" si="19"/>
        <v>0.33370602978424324</v>
      </c>
      <c r="BV28" s="169">
        <v>1.615758484497452</v>
      </c>
      <c r="BW28" s="166">
        <f t="shared" si="20"/>
        <v>0.9838424151550255</v>
      </c>
      <c r="BX28" s="393">
        <f>3+2+2</f>
        <v>7</v>
      </c>
      <c r="BY28" s="166">
        <f t="shared" si="21"/>
        <v>0.41666666666666663</v>
      </c>
      <c r="BZ28" s="394">
        <v>0</v>
      </c>
      <c r="CA28" s="381">
        <f>1-BZ28/1</f>
        <v>1</v>
      </c>
      <c r="CB28" s="394">
        <v>0</v>
      </c>
      <c r="CC28" s="28">
        <f t="shared" si="22"/>
        <v>1</v>
      </c>
      <c r="CD28" s="395">
        <v>0</v>
      </c>
      <c r="CE28" s="387">
        <f>1-CD28/1</f>
        <v>1</v>
      </c>
      <c r="CF28" s="73"/>
      <c r="CG28" s="28">
        <f t="shared" si="23"/>
        <v>1</v>
      </c>
      <c r="CH28" s="73"/>
      <c r="CI28" s="48"/>
      <c r="CJ28" s="36"/>
      <c r="CK28" s="28">
        <f t="shared" si="24"/>
        <v>1</v>
      </c>
      <c r="CL28" s="388">
        <f t="shared" si="25"/>
        <v>7</v>
      </c>
      <c r="CM28" s="28">
        <f t="shared" si="26"/>
        <v>0.65</v>
      </c>
      <c r="CN28" s="74"/>
      <c r="CO28" s="48">
        <f t="shared" si="27"/>
        <v>1</v>
      </c>
      <c r="CP28" s="66"/>
      <c r="CQ28" s="66">
        <f t="shared" si="28"/>
        <v>1</v>
      </c>
      <c r="CR28" s="394">
        <v>0</v>
      </c>
      <c r="CS28" s="38">
        <f t="shared" si="29"/>
        <v>1</v>
      </c>
      <c r="CT28" s="394">
        <v>0</v>
      </c>
      <c r="CU28" s="381">
        <f t="shared" si="30"/>
        <v>1</v>
      </c>
      <c r="CV28" s="393"/>
      <c r="CW28" s="165">
        <f t="shared" si="31"/>
        <v>1</v>
      </c>
      <c r="CX28" s="393">
        <v>3</v>
      </c>
      <c r="CY28" s="165">
        <f t="shared" si="32"/>
        <v>0.7272727272727273</v>
      </c>
      <c r="CZ28" s="393">
        <v>1</v>
      </c>
      <c r="DA28" s="166">
        <f t="shared" si="33"/>
        <v>0.875</v>
      </c>
      <c r="DB28" s="388">
        <f t="shared" si="34"/>
        <v>4</v>
      </c>
      <c r="DC28" s="165">
        <f t="shared" si="35"/>
        <v>0.8518518518518519</v>
      </c>
      <c r="DD28" s="396">
        <v>0</v>
      </c>
      <c r="DE28" s="69">
        <v>0.5</v>
      </c>
      <c r="DF28" s="394">
        <v>1</v>
      </c>
      <c r="DG28" s="155">
        <f t="shared" si="36"/>
        <v>0.9285714285714286</v>
      </c>
      <c r="DH28" s="73">
        <v>1</v>
      </c>
      <c r="DI28" s="38">
        <f t="shared" si="37"/>
        <v>0.9777777777777777</v>
      </c>
      <c r="DJ28" s="66">
        <v>0</v>
      </c>
      <c r="DK28" s="69">
        <v>0</v>
      </c>
      <c r="DL28" s="394">
        <v>0</v>
      </c>
      <c r="DM28" s="397">
        <v>1</v>
      </c>
      <c r="DN28" s="385">
        <f t="shared" si="38"/>
        <v>2</v>
      </c>
      <c r="DO28" s="390">
        <f t="shared" si="39"/>
        <v>0.967741935483871</v>
      </c>
      <c r="DP28" s="175">
        <v>50</v>
      </c>
      <c r="DQ28" s="166">
        <f>1-DP28/(2177)*100/100</f>
        <v>0.9770326136885622</v>
      </c>
      <c r="DR28" s="66">
        <v>1</v>
      </c>
      <c r="DS28" s="28">
        <f t="shared" si="40"/>
        <v>0.75</v>
      </c>
      <c r="DT28" s="45">
        <v>1</v>
      </c>
      <c r="DU28" s="28">
        <v>1</v>
      </c>
      <c r="DV28" s="75"/>
      <c r="DW28" s="45">
        <v>0</v>
      </c>
      <c r="DX28" s="28">
        <v>0</v>
      </c>
      <c r="DY28" s="46"/>
      <c r="DZ28" s="45">
        <v>0</v>
      </c>
      <c r="EA28" s="28">
        <v>0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426">
        <f t="shared" si="41"/>
        <v>22.212107043557612</v>
      </c>
      <c r="EQ28" s="427">
        <v>9</v>
      </c>
      <c r="ER28" s="428">
        <v>1.6145885195028822</v>
      </c>
      <c r="ES28" s="53" t="s">
        <v>117</v>
      </c>
      <c r="EU28" s="54">
        <v>21.97765124385201</v>
      </c>
      <c r="EV28" s="54">
        <v>11</v>
      </c>
      <c r="EW28" s="54">
        <v>1.552704073700215</v>
      </c>
      <c r="EX28" s="54" t="s">
        <v>117</v>
      </c>
    </row>
    <row r="29" spans="1:154" s="54" customFormat="1" ht="18.75">
      <c r="A29" s="55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6">
        <v>1910.3</v>
      </c>
      <c r="AO29" s="66">
        <v>2547.1</v>
      </c>
      <c r="AP29" s="58">
        <f t="shared" si="10"/>
        <v>0.7499901849161792</v>
      </c>
      <c r="AQ29" s="391">
        <v>1</v>
      </c>
      <c r="AR29" s="69">
        <f>AT29*100/AT55</f>
        <v>3.0783249350826503</v>
      </c>
      <c r="AS29" s="144">
        <v>11780.1</v>
      </c>
      <c r="AT29" s="66">
        <v>11780.1</v>
      </c>
      <c r="AU29" s="66">
        <v>5048.5</v>
      </c>
      <c r="AV29" s="26">
        <f t="shared" si="11"/>
        <v>0.42856172698024636</v>
      </c>
      <c r="AW29" s="35">
        <v>1</v>
      </c>
      <c r="AX29" s="66">
        <v>1698.82</v>
      </c>
      <c r="AY29" s="66">
        <f t="shared" si="12"/>
        <v>88.92948751505</v>
      </c>
      <c r="AZ29" s="66">
        <f t="shared" si="13"/>
        <v>33.64999504803407</v>
      </c>
      <c r="BA29" s="35">
        <v>0</v>
      </c>
      <c r="BB29" s="35">
        <v>1</v>
      </c>
      <c r="BC29" s="392">
        <v>2609</v>
      </c>
      <c r="BD29" s="36">
        <f t="shared" si="42"/>
        <v>4515.178229206593</v>
      </c>
      <c r="BE29" s="58">
        <f>BD29/BD55*100%</f>
        <v>1.1823174720003529</v>
      </c>
      <c r="BF29" s="35">
        <v>1</v>
      </c>
      <c r="BG29" s="68">
        <f>BD29*100/BD55</f>
        <v>118.23174720003529</v>
      </c>
      <c r="BH29" s="69">
        <f t="shared" si="14"/>
        <v>225.00593781081503</v>
      </c>
      <c r="BI29" s="69">
        <f t="shared" si="15"/>
        <v>36.48770748974965</v>
      </c>
      <c r="BJ29" s="66">
        <f>4298288.43/1000</f>
        <v>4298.28843</v>
      </c>
      <c r="BK29" s="66">
        <f t="shared" si="16"/>
        <v>1647.4850249137598</v>
      </c>
      <c r="BL29" s="58">
        <f>BK29/BK55*100%</f>
        <v>2.4439950459913957</v>
      </c>
      <c r="BM29" s="68">
        <v>1</v>
      </c>
      <c r="BN29" s="73">
        <v>821</v>
      </c>
      <c r="BO29" s="71">
        <v>255.15</v>
      </c>
      <c r="BP29" s="58">
        <f>BO29/(BN29+BO29)</f>
        <v>0.237095200483204</v>
      </c>
      <c r="BQ29" s="208">
        <v>1</v>
      </c>
      <c r="BR29" s="38">
        <v>1</v>
      </c>
      <c r="BS29" s="66">
        <v>3502.492</v>
      </c>
      <c r="BT29" s="61">
        <f t="shared" si="18"/>
        <v>0.2973227731513315</v>
      </c>
      <c r="BU29" s="383">
        <f t="shared" si="19"/>
        <v>0.594645546302663</v>
      </c>
      <c r="BV29" s="169">
        <v>7.796435501828972</v>
      </c>
      <c r="BW29" s="166">
        <f t="shared" si="20"/>
        <v>0.9220356449817103</v>
      </c>
      <c r="BX29" s="393">
        <f>1+1</f>
        <v>2</v>
      </c>
      <c r="BY29" s="166">
        <f t="shared" si="21"/>
        <v>0.8333333333333334</v>
      </c>
      <c r="BZ29" s="394">
        <v>0</v>
      </c>
      <c r="CA29" s="381">
        <f>1-BZ29/1</f>
        <v>1</v>
      </c>
      <c r="CB29" s="394">
        <v>0</v>
      </c>
      <c r="CC29" s="28">
        <f t="shared" si="22"/>
        <v>1</v>
      </c>
      <c r="CD29" s="395">
        <v>0</v>
      </c>
      <c r="CE29" s="387">
        <f>1-CD29/1</f>
        <v>1</v>
      </c>
      <c r="CF29" s="73"/>
      <c r="CG29" s="28">
        <f t="shared" si="23"/>
        <v>1</v>
      </c>
      <c r="CH29" s="73"/>
      <c r="CI29" s="48"/>
      <c r="CJ29" s="36"/>
      <c r="CK29" s="28">
        <f t="shared" si="24"/>
        <v>1</v>
      </c>
      <c r="CL29" s="388">
        <f t="shared" si="25"/>
        <v>2</v>
      </c>
      <c r="CM29" s="28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394">
        <v>0</v>
      </c>
      <c r="CS29" s="38">
        <f t="shared" si="29"/>
        <v>1</v>
      </c>
      <c r="CT29" s="394">
        <v>0</v>
      </c>
      <c r="CU29" s="381">
        <f t="shared" si="30"/>
        <v>1</v>
      </c>
      <c r="CV29" s="393"/>
      <c r="CW29" s="165">
        <f t="shared" si="31"/>
        <v>1</v>
      </c>
      <c r="CX29" s="393">
        <f>2+3+2+1</f>
        <v>8</v>
      </c>
      <c r="CY29" s="165">
        <f t="shared" si="32"/>
        <v>0.2727272727272727</v>
      </c>
      <c r="CZ29" s="393">
        <v>1</v>
      </c>
      <c r="DA29" s="166">
        <f t="shared" si="33"/>
        <v>0.875</v>
      </c>
      <c r="DB29" s="388">
        <f t="shared" si="34"/>
        <v>9</v>
      </c>
      <c r="DC29" s="165">
        <f t="shared" si="35"/>
        <v>0.6666666666666667</v>
      </c>
      <c r="DD29" s="396">
        <v>0</v>
      </c>
      <c r="DE29" s="69">
        <v>1</v>
      </c>
      <c r="DF29" s="394">
        <v>1</v>
      </c>
      <c r="DG29" s="155">
        <f t="shared" si="36"/>
        <v>0.9285714285714286</v>
      </c>
      <c r="DH29" s="73">
        <v>1</v>
      </c>
      <c r="DI29" s="38">
        <f t="shared" si="37"/>
        <v>0.9777777777777777</v>
      </c>
      <c r="DJ29" s="66">
        <v>0</v>
      </c>
      <c r="DK29" s="69">
        <v>1</v>
      </c>
      <c r="DL29" s="394">
        <v>0</v>
      </c>
      <c r="DM29" s="397">
        <v>1</v>
      </c>
      <c r="DN29" s="385">
        <f t="shared" si="38"/>
        <v>2</v>
      </c>
      <c r="DO29" s="390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1"/>
        <v>24.434751419812017</v>
      </c>
      <c r="EQ29" s="24">
        <v>1</v>
      </c>
      <c r="ER29" s="428">
        <v>1.6145885195028822</v>
      </c>
      <c r="ES29" s="52" t="s">
        <v>119</v>
      </c>
      <c r="ET29" s="420"/>
      <c r="EU29" s="54">
        <v>24.399098082404016</v>
      </c>
      <c r="EV29" s="54">
        <v>1</v>
      </c>
      <c r="EW29" s="54">
        <v>1.552704073700215</v>
      </c>
      <c r="EX29" s="54" t="s">
        <v>119</v>
      </c>
    </row>
    <row r="30" spans="1:154" s="54" customFormat="1" ht="18.75">
      <c r="A30" s="55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6">
        <v>3403.3</v>
      </c>
      <c r="AO30" s="66">
        <v>3407.8</v>
      </c>
      <c r="AP30" s="58">
        <f t="shared" si="10"/>
        <v>0.9986794999706555</v>
      </c>
      <c r="AQ30" s="391">
        <v>1</v>
      </c>
      <c r="AR30" s="69">
        <f>AT30*100/AT57</f>
        <v>7.129475913095809</v>
      </c>
      <c r="AS30" s="144">
        <v>27282.98</v>
      </c>
      <c r="AT30" s="66">
        <v>27283</v>
      </c>
      <c r="AU30" s="66">
        <v>7418.9</v>
      </c>
      <c r="AV30" s="26">
        <f t="shared" si="11"/>
        <v>0.27192410799700034</v>
      </c>
      <c r="AW30" s="35">
        <v>1</v>
      </c>
      <c r="AX30" s="66">
        <v>3389.12</v>
      </c>
      <c r="AY30" s="66">
        <f t="shared" si="12"/>
        <v>99.58334557635236</v>
      </c>
      <c r="AZ30" s="66">
        <f t="shared" si="13"/>
        <v>45.68224399843643</v>
      </c>
      <c r="BA30" s="35">
        <v>0</v>
      </c>
      <c r="BB30" s="35">
        <v>1</v>
      </c>
      <c r="BC30" s="392">
        <v>5618</v>
      </c>
      <c r="BD30" s="36">
        <f t="shared" si="42"/>
        <v>4856.351014595942</v>
      </c>
      <c r="BE30" s="58">
        <f>BD30/BD59*100%</f>
        <v>1.2716549299389148</v>
      </c>
      <c r="BF30" s="35">
        <v>1</v>
      </c>
      <c r="BG30" s="68">
        <f>BD30*100/BD57</f>
        <v>127.16549299389146</v>
      </c>
      <c r="BH30" s="69">
        <f t="shared" si="14"/>
        <v>92.41219345928951</v>
      </c>
      <c r="BI30" s="69">
        <f t="shared" si="15"/>
        <v>11.527559945753767</v>
      </c>
      <c r="BJ30" s="66">
        <f>3145064.18/1000</f>
        <v>3145.0641800000003</v>
      </c>
      <c r="BK30" s="66">
        <f t="shared" si="16"/>
        <v>559.819184763261</v>
      </c>
      <c r="BL30" s="58">
        <f>BK30/BK59*100%</f>
        <v>0.8304751142026143</v>
      </c>
      <c r="BM30" s="68">
        <v>0</v>
      </c>
      <c r="BN30" s="73">
        <v>0</v>
      </c>
      <c r="BO30" s="71">
        <v>0</v>
      </c>
      <c r="BP30" s="58"/>
      <c r="BQ30" s="208"/>
      <c r="BR30" s="38">
        <v>1</v>
      </c>
      <c r="BS30" s="66">
        <v>5148.05973</v>
      </c>
      <c r="BT30" s="61">
        <f t="shared" si="18"/>
        <v>0.18869111644613862</v>
      </c>
      <c r="BU30" s="383">
        <f t="shared" si="19"/>
        <v>0.37738223289227724</v>
      </c>
      <c r="BV30" s="169">
        <v>18.75948643022452</v>
      </c>
      <c r="BW30" s="166">
        <f t="shared" si="20"/>
        <v>0.8124051356977549</v>
      </c>
      <c r="BX30" s="393">
        <v>6</v>
      </c>
      <c r="BY30" s="166">
        <f t="shared" si="21"/>
        <v>0.5</v>
      </c>
      <c r="BZ30" s="394">
        <v>0</v>
      </c>
      <c r="CA30" s="381">
        <f>1-BZ30/1</f>
        <v>1</v>
      </c>
      <c r="CB30" s="394">
        <v>1</v>
      </c>
      <c r="CC30" s="28">
        <f t="shared" si="22"/>
        <v>0.75</v>
      </c>
      <c r="CD30" s="395">
        <v>1</v>
      </c>
      <c r="CE30" s="387">
        <v>0.5</v>
      </c>
      <c r="CF30" s="73"/>
      <c r="CG30" s="28">
        <f t="shared" si="23"/>
        <v>1</v>
      </c>
      <c r="CH30" s="73"/>
      <c r="CI30" s="48"/>
      <c r="CJ30" s="36"/>
      <c r="CK30" s="28">
        <f t="shared" si="24"/>
        <v>1</v>
      </c>
      <c r="CL30" s="388">
        <f t="shared" si="25"/>
        <v>8</v>
      </c>
      <c r="CM30" s="28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394">
        <v>0</v>
      </c>
      <c r="CS30" s="38">
        <f t="shared" si="29"/>
        <v>1</v>
      </c>
      <c r="CT30" s="394">
        <v>0</v>
      </c>
      <c r="CU30" s="381">
        <f t="shared" si="30"/>
        <v>1</v>
      </c>
      <c r="CV30" s="393">
        <v>1</v>
      </c>
      <c r="CW30" s="165">
        <f t="shared" si="31"/>
        <v>0.8</v>
      </c>
      <c r="CX30" s="393">
        <f>3+3+1+2</f>
        <v>9</v>
      </c>
      <c r="CY30" s="165">
        <f t="shared" si="32"/>
        <v>0.18181818181818177</v>
      </c>
      <c r="CZ30" s="393">
        <v>0</v>
      </c>
      <c r="DA30" s="166">
        <f t="shared" si="33"/>
        <v>1</v>
      </c>
      <c r="DB30" s="388">
        <f t="shared" si="34"/>
        <v>10</v>
      </c>
      <c r="DC30" s="165">
        <f t="shared" si="35"/>
        <v>0.6296296296296297</v>
      </c>
      <c r="DD30" s="396">
        <v>0</v>
      </c>
      <c r="DE30" s="69">
        <v>1</v>
      </c>
      <c r="DF30" s="394">
        <v>1</v>
      </c>
      <c r="DG30" s="155">
        <f t="shared" si="36"/>
        <v>0.9285714285714286</v>
      </c>
      <c r="DH30" s="73">
        <v>3</v>
      </c>
      <c r="DI30" s="38">
        <f t="shared" si="37"/>
        <v>0.9333333333333333</v>
      </c>
      <c r="DJ30" s="66">
        <v>1</v>
      </c>
      <c r="DK30" s="69">
        <v>0</v>
      </c>
      <c r="DL30" s="394">
        <v>1</v>
      </c>
      <c r="DM30" s="397">
        <v>0.8333333333333334</v>
      </c>
      <c r="DN30" s="385">
        <f t="shared" si="38"/>
        <v>6</v>
      </c>
      <c r="DO30" s="390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426">
        <f t="shared" si="41"/>
        <v>23.266142176691538</v>
      </c>
      <c r="EQ30" s="427">
        <v>5</v>
      </c>
      <c r="ER30" s="428">
        <v>1.6145885195028822</v>
      </c>
      <c r="ES30" s="79" t="s">
        <v>117</v>
      </c>
      <c r="ET30" s="80"/>
      <c r="EU30" s="54">
        <v>23.126098926315844</v>
      </c>
      <c r="EV30" s="54">
        <v>5</v>
      </c>
      <c r="EW30" s="54">
        <v>1.552704073700215</v>
      </c>
      <c r="EX30" s="54" t="s">
        <v>117</v>
      </c>
    </row>
    <row r="31" spans="1:154" s="54" customFormat="1" ht="18.75">
      <c r="A31" s="55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6">
        <v>2225.2</v>
      </c>
      <c r="AO31" s="66">
        <v>3240.2</v>
      </c>
      <c r="AP31" s="58">
        <f t="shared" si="10"/>
        <v>0.6867477316215048</v>
      </c>
      <c r="AQ31" s="391">
        <v>1</v>
      </c>
      <c r="AR31" s="69">
        <f>AT31*100/AT69</f>
        <v>3.232814769771733</v>
      </c>
      <c r="AS31" s="144">
        <v>12371.26</v>
      </c>
      <c r="AT31" s="66">
        <v>12371.3</v>
      </c>
      <c r="AU31" s="66">
        <v>5727</v>
      </c>
      <c r="AV31" s="26">
        <f t="shared" si="11"/>
        <v>0.4629277858520474</v>
      </c>
      <c r="AW31" s="35">
        <v>1</v>
      </c>
      <c r="AX31" s="66">
        <v>2147.56</v>
      </c>
      <c r="AY31" s="66">
        <f t="shared" si="12"/>
        <v>96.51087542692792</v>
      </c>
      <c r="AZ31" s="66">
        <f t="shared" si="13"/>
        <v>37.498865025318665</v>
      </c>
      <c r="BA31" s="35">
        <v>0</v>
      </c>
      <c r="BB31" s="35">
        <v>1</v>
      </c>
      <c r="BC31" s="392">
        <v>6211</v>
      </c>
      <c r="BD31" s="36">
        <f t="shared" si="42"/>
        <v>1991.8306230880696</v>
      </c>
      <c r="BE31" s="58">
        <f>BD31/BD73*100%</f>
        <v>0.5215688124356036</v>
      </c>
      <c r="BF31" s="35">
        <v>0</v>
      </c>
      <c r="BG31" s="68">
        <f>BD31*100/BD69</f>
        <v>52.156881243560356</v>
      </c>
      <c r="BH31" s="69">
        <f t="shared" si="14"/>
        <v>81.03914973934927</v>
      </c>
      <c r="BI31" s="69">
        <f t="shared" si="15"/>
        <v>14.576343310727248</v>
      </c>
      <c r="BJ31" s="66">
        <f>1803283.16/1000</f>
        <v>1803.28316</v>
      </c>
      <c r="BK31" s="66">
        <f t="shared" si="16"/>
        <v>290.33700853324746</v>
      </c>
      <c r="BL31" s="58">
        <f>BK31/BK73*100%</f>
        <v>0.430706318899841</v>
      </c>
      <c r="BM31" s="68">
        <v>0</v>
      </c>
      <c r="BN31" s="73">
        <v>648</v>
      </c>
      <c r="BO31" s="73">
        <v>206.59</v>
      </c>
      <c r="BP31" s="58">
        <f>BO31/(BN31+BO31)</f>
        <v>0.24174165389250984</v>
      </c>
      <c r="BQ31" s="208">
        <v>1</v>
      </c>
      <c r="BR31" s="38">
        <v>1</v>
      </c>
      <c r="BS31" s="66">
        <v>2505.368</v>
      </c>
      <c r="BT31" s="61">
        <f t="shared" si="18"/>
        <v>0.20251452959672792</v>
      </c>
      <c r="BU31" s="383">
        <f t="shared" si="19"/>
        <v>0.40502905919345583</v>
      </c>
      <c r="BV31" s="169">
        <v>0</v>
      </c>
      <c r="BW31" s="166">
        <f t="shared" si="20"/>
        <v>1</v>
      </c>
      <c r="BX31" s="393">
        <f>3+2+1</f>
        <v>6</v>
      </c>
      <c r="BY31" s="166">
        <f t="shared" si="21"/>
        <v>0.5</v>
      </c>
      <c r="BZ31" s="394">
        <v>1</v>
      </c>
      <c r="CA31" s="381">
        <v>0</v>
      </c>
      <c r="CB31" s="394">
        <v>2</v>
      </c>
      <c r="CC31" s="28">
        <f t="shared" si="22"/>
        <v>0.5</v>
      </c>
      <c r="CD31" s="395">
        <v>2</v>
      </c>
      <c r="CE31" s="387">
        <v>0</v>
      </c>
      <c r="CF31" s="73"/>
      <c r="CG31" s="28">
        <f t="shared" si="23"/>
        <v>1</v>
      </c>
      <c r="CH31" s="73"/>
      <c r="CI31" s="48"/>
      <c r="CJ31" s="36"/>
      <c r="CK31" s="28">
        <f t="shared" si="24"/>
        <v>1</v>
      </c>
      <c r="CL31" s="388">
        <f t="shared" si="25"/>
        <v>11</v>
      </c>
      <c r="CM31" s="28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394">
        <v>1</v>
      </c>
      <c r="CS31" s="38">
        <f t="shared" si="29"/>
        <v>0.6666666666666667</v>
      </c>
      <c r="CT31" s="394">
        <v>0</v>
      </c>
      <c r="CU31" s="381">
        <f t="shared" si="30"/>
        <v>1</v>
      </c>
      <c r="CV31" s="393">
        <v>2</v>
      </c>
      <c r="CW31" s="165">
        <f t="shared" si="31"/>
        <v>0.6</v>
      </c>
      <c r="CX31" s="393">
        <f>1+2+1+1</f>
        <v>5</v>
      </c>
      <c r="CY31" s="165">
        <f t="shared" si="32"/>
        <v>0.5454545454545454</v>
      </c>
      <c r="CZ31" s="393">
        <v>0</v>
      </c>
      <c r="DA31" s="166">
        <f t="shared" si="33"/>
        <v>1</v>
      </c>
      <c r="DB31" s="388">
        <f t="shared" si="34"/>
        <v>8</v>
      </c>
      <c r="DC31" s="165">
        <f t="shared" si="35"/>
        <v>0.7037037037037037</v>
      </c>
      <c r="DD31" s="396">
        <v>0</v>
      </c>
      <c r="DE31" s="69">
        <v>1</v>
      </c>
      <c r="DF31" s="394">
        <v>4</v>
      </c>
      <c r="DG31" s="155">
        <f t="shared" si="36"/>
        <v>0.7142857142857143</v>
      </c>
      <c r="DH31" s="73">
        <v>4</v>
      </c>
      <c r="DI31" s="38">
        <f t="shared" si="37"/>
        <v>0.9111111111111111</v>
      </c>
      <c r="DJ31" s="66">
        <v>1</v>
      </c>
      <c r="DK31" s="69">
        <v>0</v>
      </c>
      <c r="DL31" s="394">
        <v>1</v>
      </c>
      <c r="DM31" s="397">
        <v>0.8</v>
      </c>
      <c r="DN31" s="385">
        <f t="shared" si="38"/>
        <v>10</v>
      </c>
      <c r="DO31" s="390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45">
        <v>1</v>
      </c>
      <c r="ED31" s="69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426">
        <f t="shared" si="41"/>
        <v>20.433847304236338</v>
      </c>
      <c r="EQ31" s="427">
        <v>17</v>
      </c>
      <c r="ER31" s="428">
        <v>1.6145885195028822</v>
      </c>
      <c r="ES31" s="79" t="s">
        <v>117</v>
      </c>
      <c r="EU31" s="54">
        <v>20.244699851664663</v>
      </c>
      <c r="EV31" s="54">
        <v>18</v>
      </c>
      <c r="EW31" s="54">
        <v>1.552704073700215</v>
      </c>
      <c r="EX31" s="54" t="s">
        <v>116</v>
      </c>
    </row>
    <row r="32" spans="1:154" s="54" customFormat="1" ht="37.5">
      <c r="A32" s="55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6">
        <v>1863.9</v>
      </c>
      <c r="AO32" s="66">
        <v>2426.5</v>
      </c>
      <c r="AP32" s="58">
        <f t="shared" si="10"/>
        <v>0.7681434164434371</v>
      </c>
      <c r="AQ32" s="391">
        <v>1</v>
      </c>
      <c r="AR32" s="69">
        <f>AT32*100/AT63</f>
        <v>2.097659421515009</v>
      </c>
      <c r="AS32" s="144">
        <v>8027.33</v>
      </c>
      <c r="AT32" s="66">
        <v>8027.3</v>
      </c>
      <c r="AU32" s="66">
        <v>4467.2</v>
      </c>
      <c r="AV32" s="26">
        <f t="shared" si="11"/>
        <v>0.556498860766905</v>
      </c>
      <c r="AW32" s="35">
        <v>0.8</v>
      </c>
      <c r="AX32" s="66">
        <v>1801.28</v>
      </c>
      <c r="AY32" s="66">
        <f t="shared" si="12"/>
        <v>96.64037770266644</v>
      </c>
      <c r="AZ32" s="66">
        <f t="shared" si="13"/>
        <v>40.32234957020057</v>
      </c>
      <c r="BA32" s="35">
        <v>0</v>
      </c>
      <c r="BB32" s="35">
        <v>1</v>
      </c>
      <c r="BC32" s="392">
        <v>2185</v>
      </c>
      <c r="BD32" s="36">
        <f t="shared" si="42"/>
        <v>3673.8352402745995</v>
      </c>
      <c r="BE32" s="58">
        <f>BD32/BD63*100%</f>
        <v>0.9620084464728955</v>
      </c>
      <c r="BF32" s="35">
        <v>0.9</v>
      </c>
      <c r="BG32" s="68">
        <f>BD32*100/BD63</f>
        <v>96.20084464728956</v>
      </c>
      <c r="BH32" s="69">
        <f t="shared" si="14"/>
        <v>86.0753216374269</v>
      </c>
      <c r="BI32" s="69">
        <f t="shared" si="15"/>
        <v>19.98627085072191</v>
      </c>
      <c r="BJ32" s="66">
        <f>1604357.92/1000</f>
        <v>1604.35792</v>
      </c>
      <c r="BK32" s="66">
        <f t="shared" si="16"/>
        <v>734.2599176201372</v>
      </c>
      <c r="BL32" s="58">
        <f>BK32/BK63*100%</f>
        <v>1.0892527543475565</v>
      </c>
      <c r="BM32" s="68">
        <v>1</v>
      </c>
      <c r="BN32" s="73">
        <v>322.8</v>
      </c>
      <c r="BO32" s="71">
        <v>195.07</v>
      </c>
      <c r="BP32" s="58">
        <f>BO32/(BN32+BO32)</f>
        <v>0.3766775445575144</v>
      </c>
      <c r="BQ32" s="208">
        <v>1</v>
      </c>
      <c r="BR32" s="38">
        <v>1</v>
      </c>
      <c r="BS32" s="66"/>
      <c r="BT32" s="61">
        <f t="shared" si="18"/>
        <v>0</v>
      </c>
      <c r="BU32" s="383">
        <f t="shared" si="19"/>
        <v>0</v>
      </c>
      <c r="BV32" s="169">
        <v>0</v>
      </c>
      <c r="BW32" s="166">
        <f t="shared" si="20"/>
        <v>1</v>
      </c>
      <c r="BX32" s="393">
        <f>2+2+2</f>
        <v>6</v>
      </c>
      <c r="BY32" s="166">
        <f t="shared" si="21"/>
        <v>0.5</v>
      </c>
      <c r="BZ32" s="394">
        <v>2</v>
      </c>
      <c r="CA32" s="381">
        <v>0</v>
      </c>
      <c r="CB32" s="394">
        <v>4</v>
      </c>
      <c r="CC32" s="28">
        <f t="shared" si="22"/>
        <v>0</v>
      </c>
      <c r="CD32" s="395">
        <v>1</v>
      </c>
      <c r="CE32" s="387">
        <v>0.5</v>
      </c>
      <c r="CF32" s="73"/>
      <c r="CG32" s="28">
        <f t="shared" si="23"/>
        <v>1</v>
      </c>
      <c r="CH32" s="73"/>
      <c r="CI32" s="48"/>
      <c r="CJ32" s="36"/>
      <c r="CK32" s="28">
        <f t="shared" si="24"/>
        <v>1</v>
      </c>
      <c r="CL32" s="388">
        <f t="shared" si="25"/>
        <v>13</v>
      </c>
      <c r="CM32" s="28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394">
        <v>2</v>
      </c>
      <c r="CS32" s="38">
        <f t="shared" si="29"/>
        <v>0.33333333333333337</v>
      </c>
      <c r="CT32" s="394">
        <v>2</v>
      </c>
      <c r="CU32" s="381">
        <f t="shared" si="30"/>
        <v>0</v>
      </c>
      <c r="CV32" s="393">
        <v>2</v>
      </c>
      <c r="CW32" s="165">
        <f t="shared" si="31"/>
        <v>0.6</v>
      </c>
      <c r="CX32" s="393">
        <f>4+2+2+3</f>
        <v>11</v>
      </c>
      <c r="CY32" s="165">
        <f t="shared" si="32"/>
        <v>0</v>
      </c>
      <c r="CZ32" s="393">
        <v>2</v>
      </c>
      <c r="DA32" s="166">
        <f t="shared" si="33"/>
        <v>0.75</v>
      </c>
      <c r="DB32" s="388">
        <f t="shared" si="34"/>
        <v>19</v>
      </c>
      <c r="DC32" s="165">
        <f t="shared" si="35"/>
        <v>0.2962962962962963</v>
      </c>
      <c r="DD32" s="396">
        <v>1</v>
      </c>
      <c r="DE32" s="69">
        <v>0.5</v>
      </c>
      <c r="DF32" s="394">
        <v>10</v>
      </c>
      <c r="DG32" s="155">
        <f t="shared" si="36"/>
        <v>0.2857142857142857</v>
      </c>
      <c r="DH32" s="73">
        <v>28</v>
      </c>
      <c r="DI32" s="38">
        <f t="shared" si="37"/>
        <v>0.37777777777777777</v>
      </c>
      <c r="DJ32" s="66">
        <v>1</v>
      </c>
      <c r="DK32" s="69">
        <v>0</v>
      </c>
      <c r="DL32" s="394">
        <v>5</v>
      </c>
      <c r="DM32" s="397">
        <v>0.7</v>
      </c>
      <c r="DN32" s="385">
        <f t="shared" si="38"/>
        <v>45</v>
      </c>
      <c r="DO32" s="390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426">
        <f t="shared" si="41"/>
        <v>21.894669014050322</v>
      </c>
      <c r="EQ32" s="427">
        <v>13</v>
      </c>
      <c r="ER32" s="428">
        <v>1.6145885195028822</v>
      </c>
      <c r="ES32" s="79" t="s">
        <v>117</v>
      </c>
      <c r="EU32" s="54">
        <v>21.894669014050322</v>
      </c>
      <c r="EV32" s="54">
        <v>12</v>
      </c>
      <c r="EW32" s="54">
        <v>1.552704073700215</v>
      </c>
      <c r="EX32" s="54" t="s">
        <v>117</v>
      </c>
    </row>
    <row r="33" spans="1:154" s="409" customFormat="1" ht="21.75" customHeight="1" thickBot="1">
      <c r="A33" s="55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92">
        <v>1995.5</v>
      </c>
      <c r="AO33" s="92">
        <v>2082.9</v>
      </c>
      <c r="AP33" s="84">
        <f t="shared" si="10"/>
        <v>0.9580392721686111</v>
      </c>
      <c r="AQ33" s="398">
        <v>1</v>
      </c>
      <c r="AR33" s="95">
        <f>AT33*100/AT61</f>
        <v>3.3502761714847615</v>
      </c>
      <c r="AS33" s="145">
        <v>12820.82</v>
      </c>
      <c r="AT33" s="92">
        <v>12820.8</v>
      </c>
      <c r="AU33" s="92">
        <v>4831.5</v>
      </c>
      <c r="AV33" s="26">
        <f t="shared" si="11"/>
        <v>0.3768479707226215</v>
      </c>
      <c r="AW33" s="35">
        <v>1</v>
      </c>
      <c r="AX33" s="92">
        <v>1983.28</v>
      </c>
      <c r="AY33" s="92">
        <f t="shared" si="12"/>
        <v>99.38762214983713</v>
      </c>
      <c r="AZ33" s="92">
        <f t="shared" si="13"/>
        <v>41.048949601573014</v>
      </c>
      <c r="BA33" s="399">
        <v>0</v>
      </c>
      <c r="BB33" s="399">
        <v>1</v>
      </c>
      <c r="BC33" s="400">
        <v>1808</v>
      </c>
      <c r="BD33" s="36">
        <f t="shared" si="42"/>
        <v>7091.161504424779</v>
      </c>
      <c r="BE33" s="84">
        <f>BD33/BD61*100%</f>
        <v>1.856848991967912</v>
      </c>
      <c r="BF33" s="399">
        <v>1</v>
      </c>
      <c r="BG33" s="94">
        <f>BD33*100/BD61</f>
        <v>185.6848991967912</v>
      </c>
      <c r="BH33" s="95">
        <f t="shared" si="14"/>
        <v>72.86539163117013</v>
      </c>
      <c r="BI33" s="95">
        <f t="shared" si="15"/>
        <v>11.341171299762886</v>
      </c>
      <c r="BJ33" s="92">
        <f>1454028.89/1000</f>
        <v>1454.0288899999998</v>
      </c>
      <c r="BK33" s="66">
        <f t="shared" si="16"/>
        <v>804.2195188053097</v>
      </c>
      <c r="BL33" s="84">
        <f>BK33/BK61*100%</f>
        <v>1.193035742435746</v>
      </c>
      <c r="BM33" s="94">
        <v>1</v>
      </c>
      <c r="BN33" s="99">
        <v>497.1</v>
      </c>
      <c r="BO33" s="97">
        <v>151.24</v>
      </c>
      <c r="BP33" s="84">
        <f>BO33/(BN33+BO33)</f>
        <v>0.2332726655767036</v>
      </c>
      <c r="BQ33" s="208">
        <v>1</v>
      </c>
      <c r="BR33" s="401">
        <v>1</v>
      </c>
      <c r="BS33" s="92">
        <v>286.54797</v>
      </c>
      <c r="BT33" s="86">
        <f t="shared" si="18"/>
        <v>0.022350241014601275</v>
      </c>
      <c r="BU33" s="402">
        <f t="shared" si="19"/>
        <v>0.04470048202920255</v>
      </c>
      <c r="BV33" s="170">
        <v>10.094998544601664</v>
      </c>
      <c r="BW33" s="167">
        <f t="shared" si="20"/>
        <v>0.8990500145539834</v>
      </c>
      <c r="BX33" s="403">
        <v>4</v>
      </c>
      <c r="BY33" s="167">
        <f t="shared" si="21"/>
        <v>0.6666666666666667</v>
      </c>
      <c r="BZ33" s="404">
        <v>0</v>
      </c>
      <c r="CA33" s="381">
        <v>0</v>
      </c>
      <c r="CB33" s="404">
        <v>1</v>
      </c>
      <c r="CC33" s="161">
        <f t="shared" si="22"/>
        <v>0.75</v>
      </c>
      <c r="CD33" s="405">
        <v>0</v>
      </c>
      <c r="CE33" s="387">
        <v>0.5</v>
      </c>
      <c r="CF33" s="99"/>
      <c r="CG33" s="28">
        <f t="shared" si="23"/>
        <v>1</v>
      </c>
      <c r="CH33" s="99"/>
      <c r="CI33" s="100"/>
      <c r="CJ33" s="406"/>
      <c r="CK33" s="28">
        <f t="shared" si="24"/>
        <v>1</v>
      </c>
      <c r="CL33" s="388">
        <f t="shared" si="25"/>
        <v>5</v>
      </c>
      <c r="CM33" s="28">
        <f t="shared" si="26"/>
        <v>0.75</v>
      </c>
      <c r="CN33" s="101"/>
      <c r="CO33" s="100">
        <f t="shared" si="27"/>
        <v>1</v>
      </c>
      <c r="CP33" s="92"/>
      <c r="CQ33" s="92">
        <f t="shared" si="28"/>
        <v>1</v>
      </c>
      <c r="CR33" s="404">
        <v>0</v>
      </c>
      <c r="CS33" s="38">
        <f t="shared" si="29"/>
        <v>1</v>
      </c>
      <c r="CT33" s="404">
        <v>0</v>
      </c>
      <c r="CU33" s="381">
        <f t="shared" si="30"/>
        <v>1</v>
      </c>
      <c r="CV33" s="403"/>
      <c r="CW33" s="165">
        <f t="shared" si="31"/>
        <v>1</v>
      </c>
      <c r="CX33" s="403">
        <v>5</v>
      </c>
      <c r="CY33" s="165">
        <f t="shared" si="32"/>
        <v>0.5454545454545454</v>
      </c>
      <c r="CZ33" s="403">
        <v>8</v>
      </c>
      <c r="DA33" s="167">
        <f t="shared" si="33"/>
        <v>0</v>
      </c>
      <c r="DB33" s="388">
        <f t="shared" si="34"/>
        <v>13</v>
      </c>
      <c r="DC33" s="165">
        <f t="shared" si="35"/>
        <v>0.5185185185185186</v>
      </c>
      <c r="DD33" s="407">
        <v>0</v>
      </c>
      <c r="DE33" s="95">
        <v>0.5</v>
      </c>
      <c r="DF33" s="404">
        <v>2</v>
      </c>
      <c r="DG33" s="155">
        <f t="shared" si="36"/>
        <v>0.8571428571428572</v>
      </c>
      <c r="DH33" s="99">
        <v>2</v>
      </c>
      <c r="DI33" s="38">
        <f t="shared" si="37"/>
        <v>0.9555555555555556</v>
      </c>
      <c r="DJ33" s="92">
        <v>1</v>
      </c>
      <c r="DK33" s="95">
        <v>0</v>
      </c>
      <c r="DL33" s="404">
        <v>1</v>
      </c>
      <c r="DM33" s="408">
        <v>0.5</v>
      </c>
      <c r="DN33" s="385">
        <f t="shared" si="38"/>
        <v>6</v>
      </c>
      <c r="DO33" s="390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377">
        <f t="shared" si="41"/>
        <v>23.603887077031523</v>
      </c>
      <c r="EQ33" s="24">
        <v>3</v>
      </c>
      <c r="ER33" s="428">
        <v>1.6145885195028822</v>
      </c>
      <c r="ES33" s="77" t="s">
        <v>119</v>
      </c>
      <c r="ET33" s="80"/>
      <c r="EU33" s="54">
        <v>23.403887077031523</v>
      </c>
      <c r="EV33" s="54">
        <v>3</v>
      </c>
      <c r="EW33" s="54">
        <v>1.552704073700215</v>
      </c>
      <c r="EX33" s="54" t="s">
        <v>119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58951.7</v>
      </c>
      <c r="AO34" s="120">
        <f>SUM(AO10:AO33)</f>
        <v>70886</v>
      </c>
      <c r="AP34" s="125">
        <f t="shared" si="10"/>
        <v>0.8316409446152978</v>
      </c>
      <c r="AQ34" s="126">
        <v>1</v>
      </c>
      <c r="AR34" s="126">
        <f>SUM(AR1:AR12)</f>
        <v>161.65565472650476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6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0">
        <f>SUM(BJ10:BJ33)</f>
        <v>67548.37113</v>
      </c>
      <c r="BK34" s="130">
        <f t="shared" si="16"/>
        <v>674.0950754445842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6">
        <f>SUM(BR10:BR33)/24</f>
        <v>1</v>
      </c>
      <c r="BS34" s="201">
        <f>SUM(BS10:BS33)</f>
        <v>61061.37502999999</v>
      </c>
      <c r="BT34" s="411">
        <f t="shared" si="18"/>
        <v>0.15956295220353142</v>
      </c>
      <c r="BU34" s="412">
        <f t="shared" si="19"/>
        <v>0.31912590440706284</v>
      </c>
      <c r="BV34" s="164">
        <v>2.945818984580009</v>
      </c>
      <c r="BW34" s="413">
        <f t="shared" si="20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0.6416666666666666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0.5169753086419753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0.6130952380952381</v>
      </c>
      <c r="DH34" s="127">
        <f>SUM(DH10:DH33)</f>
        <v>242</v>
      </c>
      <c r="DI34" s="162">
        <f>SUM(DI10:DI33)/24</f>
        <v>0.7759259259259258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0.6355555555555557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21.886932322083734</v>
      </c>
      <c r="EQ34" s="135" t="s">
        <v>142</v>
      </c>
      <c r="ER34" s="429">
        <v>1.6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3818.9220206374866</v>
      </c>
      <c r="BK35" s="140">
        <f aca="true" t="shared" si="45" ref="BK35:BK66">BK34</f>
        <v>674.0950754445842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23.586932322083737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3818.9220206374866</v>
      </c>
      <c r="BK36" s="140">
        <f t="shared" si="45"/>
        <v>674.0950754445842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20.386932322083734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3818.9220206374866</v>
      </c>
      <c r="BK37" s="140">
        <f t="shared" si="45"/>
        <v>674.0950754445842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3818.9220206374866</v>
      </c>
      <c r="BK38" s="140">
        <f t="shared" si="45"/>
        <v>674.0950754445842</v>
      </c>
    </row>
    <row r="39" spans="46:63" ht="15.75">
      <c r="AT39" s="140">
        <f t="shared" si="43"/>
        <v>382678.9</v>
      </c>
      <c r="BD39" s="140">
        <f t="shared" si="44"/>
        <v>3818.9220206374866</v>
      </c>
      <c r="BK39" s="140">
        <f t="shared" si="45"/>
        <v>674.0950754445842</v>
      </c>
    </row>
    <row r="40" spans="46:63" ht="15.75">
      <c r="AT40" s="140">
        <f t="shared" si="43"/>
        <v>382678.9</v>
      </c>
      <c r="BD40" s="140">
        <f t="shared" si="44"/>
        <v>3818.9220206374866</v>
      </c>
      <c r="BK40" s="140">
        <f t="shared" si="45"/>
        <v>674.0950754445842</v>
      </c>
    </row>
    <row r="41" spans="46:63" ht="15.75">
      <c r="AT41" s="140">
        <f t="shared" si="43"/>
        <v>382678.9</v>
      </c>
      <c r="BD41" s="140">
        <f t="shared" si="44"/>
        <v>3818.9220206374866</v>
      </c>
      <c r="BK41" s="140">
        <f t="shared" si="45"/>
        <v>674.0950754445842</v>
      </c>
    </row>
    <row r="42" spans="46:63" ht="15.75">
      <c r="AT42" s="140">
        <f t="shared" si="43"/>
        <v>382678.9</v>
      </c>
      <c r="BD42" s="140">
        <f t="shared" si="44"/>
        <v>3818.9220206374866</v>
      </c>
      <c r="BK42" s="140">
        <f t="shared" si="45"/>
        <v>674.0950754445842</v>
      </c>
    </row>
    <row r="43" spans="46:63" ht="15.75">
      <c r="AT43" s="140">
        <f t="shared" si="43"/>
        <v>382678.9</v>
      </c>
      <c r="BD43" s="140">
        <f t="shared" si="44"/>
        <v>3818.9220206374866</v>
      </c>
      <c r="BK43" s="140">
        <f t="shared" si="45"/>
        <v>674.0950754445842</v>
      </c>
    </row>
    <row r="44" spans="46:63" ht="15.75">
      <c r="AT44" s="140">
        <f t="shared" si="43"/>
        <v>382678.9</v>
      </c>
      <c r="BD44" s="140">
        <f t="shared" si="44"/>
        <v>3818.9220206374866</v>
      </c>
      <c r="BK44" s="140">
        <f t="shared" si="45"/>
        <v>674.0950754445842</v>
      </c>
    </row>
    <row r="45" spans="46:63" ht="15.75">
      <c r="AT45" s="140">
        <f t="shared" si="43"/>
        <v>382678.9</v>
      </c>
      <c r="BD45" s="140">
        <f t="shared" si="44"/>
        <v>3818.9220206374866</v>
      </c>
      <c r="BK45" s="140">
        <f t="shared" si="45"/>
        <v>674.0950754445842</v>
      </c>
    </row>
    <row r="46" spans="46:63" ht="15.75">
      <c r="AT46" s="140">
        <f t="shared" si="43"/>
        <v>382678.9</v>
      </c>
      <c r="BD46" s="140">
        <f t="shared" si="44"/>
        <v>3818.9220206374866</v>
      </c>
      <c r="BK46" s="140">
        <f t="shared" si="45"/>
        <v>674.0950754445842</v>
      </c>
    </row>
    <row r="47" spans="46:63" ht="15.75">
      <c r="AT47" s="140">
        <f t="shared" si="43"/>
        <v>382678.9</v>
      </c>
      <c r="BD47" s="140">
        <f t="shared" si="44"/>
        <v>3818.9220206374866</v>
      </c>
      <c r="BK47" s="140">
        <f t="shared" si="45"/>
        <v>674.0950754445842</v>
      </c>
    </row>
    <row r="48" spans="46:63" ht="15.75">
      <c r="AT48" s="140">
        <f t="shared" si="43"/>
        <v>382678.9</v>
      </c>
      <c r="BD48" s="140">
        <f t="shared" si="44"/>
        <v>3818.9220206374866</v>
      </c>
      <c r="BK48" s="140">
        <f t="shared" si="45"/>
        <v>674.0950754445842</v>
      </c>
    </row>
    <row r="49" spans="46:63" ht="15.75">
      <c r="AT49" s="140">
        <f t="shared" si="43"/>
        <v>382678.9</v>
      </c>
      <c r="BD49" s="140">
        <f t="shared" si="44"/>
        <v>3818.9220206374866</v>
      </c>
      <c r="BK49" s="140">
        <f t="shared" si="45"/>
        <v>674.0950754445842</v>
      </c>
    </row>
    <row r="50" spans="46:63" ht="15.75">
      <c r="AT50" s="140">
        <f t="shared" si="43"/>
        <v>382678.9</v>
      </c>
      <c r="BD50" s="140">
        <f t="shared" si="44"/>
        <v>3818.9220206374866</v>
      </c>
      <c r="BK50" s="140">
        <f t="shared" si="45"/>
        <v>674.0950754445842</v>
      </c>
    </row>
    <row r="51" spans="46:63" ht="15.75">
      <c r="AT51" s="140">
        <f t="shared" si="43"/>
        <v>382678.9</v>
      </c>
      <c r="BD51" s="140">
        <f t="shared" si="44"/>
        <v>3818.9220206374866</v>
      </c>
      <c r="BK51" s="140">
        <f t="shared" si="45"/>
        <v>674.0950754445842</v>
      </c>
    </row>
    <row r="52" spans="46:63" ht="15.75">
      <c r="AT52" s="140">
        <f t="shared" si="43"/>
        <v>382678.9</v>
      </c>
      <c r="BD52" s="140">
        <f t="shared" si="44"/>
        <v>3818.9220206374866</v>
      </c>
      <c r="BK52" s="140">
        <f t="shared" si="45"/>
        <v>674.0950754445842</v>
      </c>
    </row>
    <row r="53" spans="46:63" ht="15.75">
      <c r="AT53" s="140">
        <f t="shared" si="43"/>
        <v>382678.9</v>
      </c>
      <c r="BD53" s="140">
        <f t="shared" si="44"/>
        <v>3818.9220206374866</v>
      </c>
      <c r="BK53" s="140">
        <f t="shared" si="45"/>
        <v>674.0950754445842</v>
      </c>
    </row>
    <row r="54" spans="46:63" ht="15.75">
      <c r="AT54" s="140">
        <f t="shared" si="43"/>
        <v>382678.9</v>
      </c>
      <c r="BD54" s="140">
        <f t="shared" si="44"/>
        <v>3818.9220206374866</v>
      </c>
      <c r="BK54" s="140">
        <f t="shared" si="45"/>
        <v>674.0950754445842</v>
      </c>
    </row>
    <row r="55" spans="46:63" ht="15.75">
      <c r="AT55" s="140">
        <f t="shared" si="43"/>
        <v>382678.9</v>
      </c>
      <c r="BD55" s="140">
        <f t="shared" si="44"/>
        <v>3818.9220206374866</v>
      </c>
      <c r="BK55" s="140">
        <f t="shared" si="45"/>
        <v>674.0950754445842</v>
      </c>
    </row>
    <row r="56" spans="46:63" ht="15.75">
      <c r="AT56" s="140">
        <f t="shared" si="43"/>
        <v>382678.9</v>
      </c>
      <c r="BD56" s="140">
        <f t="shared" si="44"/>
        <v>3818.9220206374866</v>
      </c>
      <c r="BK56" s="140">
        <f t="shared" si="45"/>
        <v>674.0950754445842</v>
      </c>
    </row>
    <row r="57" spans="46:63" ht="15.75">
      <c r="AT57" s="140">
        <f t="shared" si="43"/>
        <v>382678.9</v>
      </c>
      <c r="BD57" s="140">
        <f t="shared" si="44"/>
        <v>3818.9220206374866</v>
      </c>
      <c r="BK57" s="140">
        <f t="shared" si="45"/>
        <v>674.0950754445842</v>
      </c>
    </row>
    <row r="58" spans="46:63" ht="15.75">
      <c r="AT58" s="140">
        <f t="shared" si="43"/>
        <v>382678.9</v>
      </c>
      <c r="BD58" s="140">
        <f t="shared" si="44"/>
        <v>3818.9220206374866</v>
      </c>
      <c r="BK58" s="140">
        <f t="shared" si="45"/>
        <v>674.0950754445842</v>
      </c>
    </row>
    <row r="59" spans="46:63" ht="15.75">
      <c r="AT59" s="140">
        <f t="shared" si="43"/>
        <v>382678.9</v>
      </c>
      <c r="BD59" s="140">
        <f t="shared" si="44"/>
        <v>3818.9220206374866</v>
      </c>
      <c r="BK59" s="140">
        <f t="shared" si="45"/>
        <v>674.0950754445842</v>
      </c>
    </row>
    <row r="60" spans="46:63" ht="15.75">
      <c r="AT60" s="140">
        <f t="shared" si="43"/>
        <v>382678.9</v>
      </c>
      <c r="BD60" s="140">
        <f t="shared" si="44"/>
        <v>3818.9220206374866</v>
      </c>
      <c r="BK60" s="140">
        <f t="shared" si="45"/>
        <v>674.0950754445842</v>
      </c>
    </row>
    <row r="61" spans="46:63" ht="15.75">
      <c r="AT61" s="140">
        <f t="shared" si="43"/>
        <v>382678.9</v>
      </c>
      <c r="BD61" s="140">
        <f t="shared" si="44"/>
        <v>3818.9220206374866</v>
      </c>
      <c r="BK61" s="140">
        <f t="shared" si="45"/>
        <v>674.0950754445842</v>
      </c>
    </row>
    <row r="62" spans="46:63" ht="15.75">
      <c r="AT62" s="140">
        <f t="shared" si="43"/>
        <v>382678.9</v>
      </c>
      <c r="BD62" s="140">
        <f t="shared" si="44"/>
        <v>3818.9220206374866</v>
      </c>
      <c r="BK62" s="140">
        <f t="shared" si="45"/>
        <v>674.0950754445842</v>
      </c>
    </row>
    <row r="63" spans="46:63" ht="15.75">
      <c r="AT63" s="140">
        <f t="shared" si="43"/>
        <v>382678.9</v>
      </c>
      <c r="BD63" s="140">
        <f t="shared" si="44"/>
        <v>3818.9220206374866</v>
      </c>
      <c r="BK63" s="140">
        <f t="shared" si="45"/>
        <v>674.0950754445842</v>
      </c>
    </row>
    <row r="64" spans="46:63" ht="15.75">
      <c r="AT64" s="140">
        <f t="shared" si="43"/>
        <v>382678.9</v>
      </c>
      <c r="BD64" s="140">
        <f t="shared" si="44"/>
        <v>3818.9220206374866</v>
      </c>
      <c r="BK64" s="140">
        <f t="shared" si="45"/>
        <v>674.0950754445842</v>
      </c>
    </row>
    <row r="65" spans="46:63" ht="15.75">
      <c r="AT65" s="140">
        <f t="shared" si="43"/>
        <v>382678.9</v>
      </c>
      <c r="BD65" s="140">
        <f t="shared" si="44"/>
        <v>3818.9220206374866</v>
      </c>
      <c r="BK65" s="140">
        <f t="shared" si="45"/>
        <v>674.0950754445842</v>
      </c>
    </row>
    <row r="66" spans="46:63" ht="15.75">
      <c r="AT66" s="140">
        <f t="shared" si="43"/>
        <v>382678.9</v>
      </c>
      <c r="BD66" s="140">
        <f t="shared" si="44"/>
        <v>3818.9220206374866</v>
      </c>
      <c r="BK66" s="140">
        <f t="shared" si="45"/>
        <v>674.0950754445842</v>
      </c>
    </row>
    <row r="67" spans="46:63" ht="15.75">
      <c r="AT67" s="140">
        <f t="shared" si="43"/>
        <v>382678.9</v>
      </c>
      <c r="BD67" s="140">
        <f aca="true" t="shared" si="47" ref="BD67:BD90">BD66</f>
        <v>3818.9220206374866</v>
      </c>
      <c r="BK67" s="140">
        <f aca="true" t="shared" si="48" ref="BK67:BK99">BK66</f>
        <v>674.0950754445842</v>
      </c>
    </row>
    <row r="68" spans="46:63" ht="15.75">
      <c r="AT68" s="140">
        <f t="shared" si="43"/>
        <v>382678.9</v>
      </c>
      <c r="BD68" s="140">
        <f t="shared" si="47"/>
        <v>3818.9220206374866</v>
      </c>
      <c r="BK68" s="140">
        <f t="shared" si="48"/>
        <v>674.0950754445842</v>
      </c>
    </row>
    <row r="69" spans="46:63" ht="15.75">
      <c r="AT69" s="140">
        <f t="shared" si="43"/>
        <v>382678.9</v>
      </c>
      <c r="BD69" s="140">
        <f t="shared" si="47"/>
        <v>3818.9220206374866</v>
      </c>
      <c r="BK69" s="140">
        <f t="shared" si="48"/>
        <v>674.0950754445842</v>
      </c>
    </row>
    <row r="70" spans="46:63" ht="15.75">
      <c r="AT70" s="140">
        <f t="shared" si="43"/>
        <v>382678.9</v>
      </c>
      <c r="BD70" s="140">
        <f t="shared" si="47"/>
        <v>3818.9220206374866</v>
      </c>
      <c r="BK70" s="140">
        <f t="shared" si="48"/>
        <v>674.0950754445842</v>
      </c>
    </row>
    <row r="71" spans="46:63" ht="15.75">
      <c r="AT71" s="140">
        <f t="shared" si="43"/>
        <v>382678.9</v>
      </c>
      <c r="BD71" s="140">
        <f t="shared" si="47"/>
        <v>3818.9220206374866</v>
      </c>
      <c r="BK71" s="140">
        <f t="shared" si="48"/>
        <v>674.0950754445842</v>
      </c>
    </row>
    <row r="72" spans="46:63" ht="15.75">
      <c r="AT72" s="140">
        <f t="shared" si="43"/>
        <v>382678.9</v>
      </c>
      <c r="BD72" s="140">
        <f t="shared" si="47"/>
        <v>3818.9220206374866</v>
      </c>
      <c r="BK72" s="140">
        <f t="shared" si="48"/>
        <v>674.0950754445842</v>
      </c>
    </row>
    <row r="73" spans="46:63" ht="15.75">
      <c r="AT73" s="140">
        <f t="shared" si="43"/>
        <v>382678.9</v>
      </c>
      <c r="BD73" s="140">
        <f t="shared" si="47"/>
        <v>3818.9220206374866</v>
      </c>
      <c r="BK73" s="140">
        <f t="shared" si="48"/>
        <v>674.0950754445842</v>
      </c>
    </row>
    <row r="74" spans="46:63" ht="15.75">
      <c r="AT74" s="140">
        <f t="shared" si="43"/>
        <v>382678.9</v>
      </c>
      <c r="BD74" s="140">
        <f t="shared" si="47"/>
        <v>3818.9220206374866</v>
      </c>
      <c r="BK74" s="140">
        <f t="shared" si="48"/>
        <v>674.0950754445842</v>
      </c>
    </row>
    <row r="75" spans="46:63" ht="15.75">
      <c r="AT75" s="140">
        <f t="shared" si="43"/>
        <v>382678.9</v>
      </c>
      <c r="BD75" s="140">
        <f t="shared" si="47"/>
        <v>3818.9220206374866</v>
      </c>
      <c r="BK75" s="140">
        <f t="shared" si="48"/>
        <v>674.0950754445842</v>
      </c>
    </row>
    <row r="76" spans="46:63" ht="15.75">
      <c r="AT76" s="140">
        <f t="shared" si="43"/>
        <v>382678.9</v>
      </c>
      <c r="BD76" s="140">
        <f t="shared" si="47"/>
        <v>3818.9220206374866</v>
      </c>
      <c r="BK76" s="140">
        <f t="shared" si="48"/>
        <v>674.0950754445842</v>
      </c>
    </row>
    <row r="77" spans="46:63" ht="15.75">
      <c r="AT77" s="140">
        <f t="shared" si="43"/>
        <v>382678.9</v>
      </c>
      <c r="BD77" s="140">
        <f t="shared" si="47"/>
        <v>3818.9220206374866</v>
      </c>
      <c r="BK77" s="140">
        <f t="shared" si="48"/>
        <v>674.0950754445842</v>
      </c>
    </row>
    <row r="78" spans="46:63" ht="15.75">
      <c r="AT78" s="140">
        <f t="shared" si="43"/>
        <v>382678.9</v>
      </c>
      <c r="BD78" s="140">
        <f t="shared" si="47"/>
        <v>3818.9220206374866</v>
      </c>
      <c r="BK78" s="140">
        <f t="shared" si="48"/>
        <v>674.0950754445842</v>
      </c>
    </row>
    <row r="79" spans="46:63" ht="15.75">
      <c r="AT79" s="140">
        <f t="shared" si="43"/>
        <v>382678.9</v>
      </c>
      <c r="BD79" s="140">
        <f t="shared" si="47"/>
        <v>3818.9220206374866</v>
      </c>
      <c r="BK79" s="140">
        <f t="shared" si="48"/>
        <v>674.0950754445842</v>
      </c>
    </row>
    <row r="80" spans="56:63" ht="15.75">
      <c r="BD80" s="140">
        <f t="shared" si="47"/>
        <v>3818.9220206374866</v>
      </c>
      <c r="BK80" s="140">
        <f t="shared" si="48"/>
        <v>674.0950754445842</v>
      </c>
    </row>
    <row r="81" spans="56:63" ht="15.75">
      <c r="BD81" s="140">
        <f t="shared" si="47"/>
        <v>3818.9220206374866</v>
      </c>
      <c r="BK81" s="140">
        <f t="shared" si="48"/>
        <v>674.0950754445842</v>
      </c>
    </row>
    <row r="82" spans="56:63" ht="15.75">
      <c r="BD82" s="140">
        <f t="shared" si="47"/>
        <v>3818.9220206374866</v>
      </c>
      <c r="BK82" s="140">
        <f t="shared" si="48"/>
        <v>674.0950754445842</v>
      </c>
    </row>
    <row r="83" spans="56:63" ht="15.75">
      <c r="BD83" s="140">
        <f t="shared" si="47"/>
        <v>3818.9220206374866</v>
      </c>
      <c r="BK83" s="140">
        <f t="shared" si="48"/>
        <v>674.0950754445842</v>
      </c>
    </row>
    <row r="84" spans="56:63" ht="15.75">
      <c r="BD84" s="140">
        <f t="shared" si="47"/>
        <v>3818.9220206374866</v>
      </c>
      <c r="BK84" s="140">
        <f t="shared" si="48"/>
        <v>674.0950754445842</v>
      </c>
    </row>
    <row r="85" spans="56:63" ht="15.75">
      <c r="BD85" s="140">
        <f t="shared" si="47"/>
        <v>3818.9220206374866</v>
      </c>
      <c r="BK85" s="140">
        <f t="shared" si="48"/>
        <v>674.0950754445842</v>
      </c>
    </row>
    <row r="86" spans="56:63" ht="15.75">
      <c r="BD86" s="140">
        <f t="shared" si="47"/>
        <v>3818.9220206374866</v>
      </c>
      <c r="BK86" s="140">
        <f t="shared" si="48"/>
        <v>674.0950754445842</v>
      </c>
    </row>
    <row r="87" spans="56:63" ht="15.75">
      <c r="BD87" s="140">
        <f t="shared" si="47"/>
        <v>3818.9220206374866</v>
      </c>
      <c r="BK87" s="140">
        <f t="shared" si="48"/>
        <v>674.0950754445842</v>
      </c>
    </row>
    <row r="88" spans="56:63" ht="15.75">
      <c r="BD88" s="140">
        <f t="shared" si="47"/>
        <v>3818.9220206374866</v>
      </c>
      <c r="BK88" s="140">
        <f t="shared" si="48"/>
        <v>674.0950754445842</v>
      </c>
    </row>
    <row r="89" spans="56:63" ht="15.75">
      <c r="BD89" s="140">
        <f t="shared" si="47"/>
        <v>3818.9220206374866</v>
      </c>
      <c r="BK89" s="140">
        <f t="shared" si="48"/>
        <v>674.0950754445842</v>
      </c>
    </row>
    <row r="90" spans="56:63" ht="15.75">
      <c r="BD90" s="140">
        <f t="shared" si="47"/>
        <v>3818.9220206374866</v>
      </c>
      <c r="BK90" s="140">
        <f t="shared" si="48"/>
        <v>674.0950754445842</v>
      </c>
    </row>
    <row r="91" ht="15.75">
      <c r="BK91" s="140">
        <f t="shared" si="48"/>
        <v>674.0950754445842</v>
      </c>
    </row>
    <row r="92" ht="15.75">
      <c r="BK92" s="140">
        <f t="shared" si="48"/>
        <v>674.0950754445842</v>
      </c>
    </row>
    <row r="93" ht="15.75">
      <c r="BK93" s="140">
        <f t="shared" si="48"/>
        <v>674.0950754445842</v>
      </c>
    </row>
    <row r="94" ht="15.75">
      <c r="BK94" s="140">
        <f t="shared" si="48"/>
        <v>674.0950754445842</v>
      </c>
    </row>
    <row r="95" ht="15.75">
      <c r="BK95" s="140">
        <f t="shared" si="48"/>
        <v>674.0950754445842</v>
      </c>
    </row>
    <row r="96" ht="15.75">
      <c r="BK96" s="140">
        <f t="shared" si="48"/>
        <v>674.0950754445842</v>
      </c>
    </row>
    <row r="97" ht="15.75">
      <c r="BK97" s="140">
        <f t="shared" si="48"/>
        <v>674.0950754445842</v>
      </c>
    </row>
    <row r="98" ht="15.75">
      <c r="BK98" s="140">
        <f t="shared" si="48"/>
        <v>674.0950754445842</v>
      </c>
    </row>
    <row r="99" ht="15.75">
      <c r="BK99" s="140">
        <f t="shared" si="48"/>
        <v>674.0950754445842</v>
      </c>
    </row>
  </sheetData>
  <sheetProtection/>
  <mergeCells count="185">
    <mergeCell ref="DT4:DU6"/>
    <mergeCell ref="DT7:DU7"/>
    <mergeCell ref="EN4:EO6"/>
    <mergeCell ref="EN7:EO7"/>
    <mergeCell ref="DY4:EA6"/>
    <mergeCell ref="DY7:EA7"/>
    <mergeCell ref="EH7:EJ7"/>
    <mergeCell ref="EE4:EG6"/>
    <mergeCell ref="EE7:EG7"/>
    <mergeCell ref="EH4:EJ6"/>
    <mergeCell ref="BA8:BA9"/>
    <mergeCell ref="AP8:AP9"/>
    <mergeCell ref="AS8:AS9"/>
    <mergeCell ref="DR4:DS6"/>
    <mergeCell ref="DR7:DS7"/>
    <mergeCell ref="BC8:BC9"/>
    <mergeCell ref="AX4:BB6"/>
    <mergeCell ref="AX7:BB7"/>
    <mergeCell ref="AT8:AT9"/>
    <mergeCell ref="BL8:BL9"/>
    <mergeCell ref="EN8:EN9"/>
    <mergeCell ref="EO8:EO9"/>
    <mergeCell ref="CR8:CS8"/>
    <mergeCell ref="BJ4:BM6"/>
    <mergeCell ref="BJ7:BM7"/>
    <mergeCell ref="BS4:BU6"/>
    <mergeCell ref="BV4:BW6"/>
    <mergeCell ref="BR8:BR9"/>
    <mergeCell ref="BQ8:BQ9"/>
    <mergeCell ref="BP8:BP9"/>
    <mergeCell ref="AN8:AN9"/>
    <mergeCell ref="AQ8:AQ9"/>
    <mergeCell ref="AU8:AU9"/>
    <mergeCell ref="BV7:BW7"/>
    <mergeCell ref="BW8:BW9"/>
    <mergeCell ref="BN8:BN9"/>
    <mergeCell ref="BK8:BK9"/>
    <mergeCell ref="BO8:BO9"/>
    <mergeCell ref="BU8:BU9"/>
    <mergeCell ref="BV8:BV9"/>
    <mergeCell ref="BN4:BR6"/>
    <mergeCell ref="BN7:BR7"/>
    <mergeCell ref="BC7:BF7"/>
    <mergeCell ref="AE7:AI7"/>
    <mergeCell ref="AN7:AQ7"/>
    <mergeCell ref="AT7:AW7"/>
    <mergeCell ref="AJ4:AM6"/>
    <mergeCell ref="AJ7:AM7"/>
    <mergeCell ref="AN4:AQ6"/>
    <mergeCell ref="AT4:AW6"/>
    <mergeCell ref="AH8:AH9"/>
    <mergeCell ref="E8:E9"/>
    <mergeCell ref="F8:F9"/>
    <mergeCell ref="C4:D6"/>
    <mergeCell ref="E4:F6"/>
    <mergeCell ref="C8:C9"/>
    <mergeCell ref="D8:D9"/>
    <mergeCell ref="C7:D7"/>
    <mergeCell ref="E7:F7"/>
    <mergeCell ref="AA4:AD6"/>
    <mergeCell ref="S4:V6"/>
    <mergeCell ref="BC4:BF6"/>
    <mergeCell ref="S7:V7"/>
    <mergeCell ref="AA7:AD7"/>
    <mergeCell ref="W4:Z6"/>
    <mergeCell ref="W7:Z7"/>
    <mergeCell ref="AE4:AI6"/>
    <mergeCell ref="AF8:AF9"/>
    <mergeCell ref="EP4:ES7"/>
    <mergeCell ref="EP8:EP9"/>
    <mergeCell ref="EQ8:EQ9"/>
    <mergeCell ref="ES8:ES9"/>
    <mergeCell ref="ER8:ER9"/>
    <mergeCell ref="BE8:BE9"/>
    <mergeCell ref="AV8:AV9"/>
    <mergeCell ref="AX8:AX9"/>
    <mergeCell ref="BD8:BD9"/>
    <mergeCell ref="S8:S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A4:A9"/>
    <mergeCell ref="B4:B9"/>
    <mergeCell ref="K4:N6"/>
    <mergeCell ref="O4:R6"/>
    <mergeCell ref="K7:N7"/>
    <mergeCell ref="R8:R9"/>
    <mergeCell ref="G4:J6"/>
    <mergeCell ref="O7:R7"/>
    <mergeCell ref="O8:O9"/>
    <mergeCell ref="G7:J7"/>
    <mergeCell ref="AB8:AB9"/>
    <mergeCell ref="AA8:AA9"/>
    <mergeCell ref="T8:T9"/>
    <mergeCell ref="U8:U9"/>
    <mergeCell ref="V8:V9"/>
    <mergeCell ref="Z8:Z9"/>
    <mergeCell ref="Y8:Y9"/>
    <mergeCell ref="X8:X9"/>
    <mergeCell ref="W8:W9"/>
    <mergeCell ref="G8:G9"/>
    <mergeCell ref="H8:H9"/>
    <mergeCell ref="I8:I9"/>
    <mergeCell ref="P8:P9"/>
    <mergeCell ref="Q8:Q9"/>
    <mergeCell ref="J8:J9"/>
    <mergeCell ref="L8:L9"/>
    <mergeCell ref="M8:M9"/>
    <mergeCell ref="N8:N9"/>
    <mergeCell ref="K8:K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X8:DX9"/>
    <mergeCell ref="DV4:DX6"/>
    <mergeCell ref="DV7:DX7"/>
    <mergeCell ref="DV8:DV9"/>
    <mergeCell ref="DW8:DW9"/>
    <mergeCell ref="CV8:CW8"/>
    <mergeCell ref="CX8:CY8"/>
    <mergeCell ref="CZ8:DA8"/>
    <mergeCell ref="DP8:DP9"/>
    <mergeCell ref="EG8:EG9"/>
    <mergeCell ref="EC8:EC9"/>
    <mergeCell ref="EF8:EF9"/>
    <mergeCell ref="ED8:ED9"/>
    <mergeCell ref="EB4:ED6"/>
    <mergeCell ref="EB7:ED7"/>
    <mergeCell ref="EB8:EB9"/>
    <mergeCell ref="EE8:EE9"/>
    <mergeCell ref="EM8:EM9"/>
    <mergeCell ref="EK4:EM6"/>
    <mergeCell ref="EK7:EM7"/>
    <mergeCell ref="EK8:EK9"/>
    <mergeCell ref="EL8:EL9"/>
    <mergeCell ref="EJ8:EJ9"/>
    <mergeCell ref="DR8:DR9"/>
    <mergeCell ref="DT8:DT9"/>
    <mergeCell ref="EH8:EH9"/>
    <mergeCell ref="EI8:EI9"/>
    <mergeCell ref="DS8:DS9"/>
    <mergeCell ref="DU8:DU9"/>
    <mergeCell ref="DZ8:DZ9"/>
    <mergeCell ref="EA8:EA9"/>
    <mergeCell ref="DY8:DY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4" man="1"/>
    <brk id="28" max="34" man="1"/>
    <brk id="123" max="38" man="1"/>
    <brk id="145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S99"/>
  <sheetViews>
    <sheetView view="pageBreakPreview" zoomScale="70" zoomScaleNormal="90" zoomScaleSheetLayoutView="70" zoomScalePageLayoutView="0" workbookViewId="0" topLeftCell="A4">
      <pane xSplit="2" ySplit="6" topLeftCell="DU16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EU35" sqref="EU35"/>
    </sheetView>
  </sheetViews>
  <sheetFormatPr defaultColWidth="9.00390625" defaultRowHeight="12.75"/>
  <cols>
    <col min="1" max="1" width="8.625" style="138" bestFit="1" customWidth="1"/>
    <col min="2" max="2" width="21.375" style="3" customWidth="1"/>
    <col min="3" max="3" width="13.00390625" style="3" customWidth="1"/>
    <col min="4" max="4" width="9.375" style="3" customWidth="1"/>
    <col min="5" max="5" width="12.25390625" style="3" customWidth="1"/>
    <col min="6" max="6" width="17.625" style="3" customWidth="1"/>
    <col min="7" max="7" width="18.75390625" style="3" customWidth="1"/>
    <col min="8" max="8" width="15.125" style="3" customWidth="1"/>
    <col min="9" max="9" width="15.875" style="3" customWidth="1"/>
    <col min="10" max="10" width="18.00390625" style="3" customWidth="1"/>
    <col min="11" max="11" width="15.875" style="3" customWidth="1"/>
    <col min="12" max="12" width="15.125" style="3" customWidth="1"/>
    <col min="13" max="13" width="12.75390625" style="3" customWidth="1"/>
    <col min="14" max="14" width="11.25390625" style="3" customWidth="1"/>
    <col min="15" max="15" width="16.00390625" style="3" customWidth="1"/>
    <col min="16" max="16" width="17.75390625" style="3" customWidth="1"/>
    <col min="17" max="17" width="12.625" style="3" customWidth="1"/>
    <col min="18" max="18" width="9.375" style="3" customWidth="1"/>
    <col min="19" max="19" width="21.00390625" style="3" customWidth="1"/>
    <col min="20" max="20" width="19.375" style="3" customWidth="1"/>
    <col min="21" max="21" width="13.25390625" style="3" customWidth="1"/>
    <col min="22" max="22" width="9.375" style="3" customWidth="1"/>
    <col min="23" max="23" width="23.375" style="3" customWidth="1"/>
    <col min="24" max="24" width="21.25390625" style="3" customWidth="1"/>
    <col min="25" max="25" width="12.25390625" style="3" customWidth="1"/>
    <col min="26" max="26" width="12.375" style="3" customWidth="1"/>
    <col min="27" max="27" width="14.625" style="3" customWidth="1"/>
    <col min="28" max="28" width="15.125" style="3" customWidth="1"/>
    <col min="29" max="29" width="12.75390625" style="3" customWidth="1"/>
    <col min="30" max="30" width="11.75390625" style="3" customWidth="1"/>
    <col min="31" max="31" width="18.75390625" style="3" customWidth="1"/>
    <col min="32" max="32" width="15.25390625" style="3" customWidth="1"/>
    <col min="33" max="33" width="15.625" style="3" customWidth="1"/>
    <col min="34" max="34" width="12.375" style="3" customWidth="1"/>
    <col min="35" max="35" width="11.25390625" style="3" customWidth="1"/>
    <col min="36" max="36" width="20.875" style="3" customWidth="1"/>
    <col min="37" max="37" width="21.25390625" style="3" customWidth="1"/>
    <col min="38" max="38" width="14.25390625" style="3" customWidth="1"/>
    <col min="39" max="39" width="10.875" style="3" customWidth="1"/>
    <col min="40" max="40" width="19.375" style="3" customWidth="1"/>
    <col min="41" max="41" width="21.125" style="3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15.875" style="3" customWidth="1"/>
    <col min="47" max="47" width="18.375" style="3" customWidth="1"/>
    <col min="48" max="48" width="13.625" style="3" customWidth="1"/>
    <col min="49" max="49" width="9.375" style="3" customWidth="1"/>
    <col min="50" max="50" width="17.75390625" style="3" customWidth="1"/>
    <col min="51" max="51" width="19.25390625" style="3" customWidth="1"/>
    <col min="52" max="52" width="20.125" style="3" customWidth="1"/>
    <col min="53" max="54" width="12.75390625" style="3" customWidth="1"/>
    <col min="55" max="55" width="18.25390625" style="3" customWidth="1"/>
    <col min="56" max="56" width="22.3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21.25390625" style="3" customWidth="1"/>
    <col min="63" max="63" width="17.375" style="3" customWidth="1"/>
    <col min="64" max="64" width="12.00390625" style="3" customWidth="1"/>
    <col min="65" max="65" width="9.00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2.00390625" style="3" customWidth="1"/>
    <col min="70" max="70" width="9.375" style="3" customWidth="1"/>
    <col min="71" max="71" width="22.125" style="3" customWidth="1"/>
    <col min="72" max="72" width="12.125" style="3" customWidth="1"/>
    <col min="73" max="73" width="9.375" style="3" customWidth="1"/>
    <col min="74" max="74" width="13.375" style="3" customWidth="1"/>
    <col min="75" max="75" width="9.25390625" style="3" customWidth="1"/>
    <col min="76" max="76" width="13.75390625" style="3" bestFit="1" customWidth="1"/>
    <col min="77" max="77" width="9.375" style="3" bestFit="1" customWidth="1"/>
    <col min="78" max="78" width="19.00390625" style="3" customWidth="1"/>
    <col min="79" max="79" width="18.875" style="3" customWidth="1"/>
    <col min="80" max="80" width="13.75390625" style="3" bestFit="1" customWidth="1"/>
    <col min="81" max="81" width="9.375" style="3" bestFit="1" customWidth="1"/>
    <col min="82" max="82" width="13.12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hidden="1" customWidth="1"/>
    <col min="87" max="87" width="9.375" style="3" hidden="1" customWidth="1"/>
    <col min="88" max="88" width="14.25390625" style="3" customWidth="1"/>
    <col min="89" max="89" width="15.375" style="3" customWidth="1"/>
    <col min="90" max="90" width="12.625" style="3" customWidth="1"/>
    <col min="91" max="91" width="10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9.625" style="3" customWidth="1"/>
    <col min="97" max="97" width="18.00390625" style="3" customWidth="1"/>
    <col min="98" max="98" width="13.00390625" style="3" customWidth="1"/>
    <col min="99" max="101" width="11.375" style="3" customWidth="1"/>
    <col min="102" max="102" width="13.75390625" style="3" customWidth="1"/>
    <col min="103" max="103" width="9.75390625" style="3" customWidth="1"/>
    <col min="104" max="104" width="17.00390625" style="3" customWidth="1"/>
    <col min="105" max="105" width="9.875" style="3" customWidth="1"/>
    <col min="106" max="106" width="13.00390625" style="3" customWidth="1"/>
    <col min="107" max="107" width="9.375" style="3" customWidth="1"/>
    <col min="108" max="108" width="14.375" style="3" customWidth="1"/>
    <col min="109" max="109" width="10.00390625" style="3" customWidth="1"/>
    <col min="110" max="110" width="13.75390625" style="3" bestFit="1" customWidth="1"/>
    <col min="111" max="111" width="10.25390625" style="3" customWidth="1"/>
    <col min="112" max="112" width="14.00390625" style="3" customWidth="1"/>
    <col min="113" max="113" width="15.875" style="3" customWidth="1"/>
    <col min="114" max="114" width="9.625" style="3" customWidth="1"/>
    <col min="115" max="115" width="11.625" style="3" customWidth="1"/>
    <col min="116" max="116" width="13.75390625" style="3" bestFit="1" customWidth="1"/>
    <col min="117" max="117" width="9.375" style="3" bestFit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00390625" style="3" bestFit="1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8.8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24.125" style="3" customWidth="1"/>
    <col min="149" max="149" width="16.125" style="3" bestFit="1" customWidth="1"/>
    <col min="150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8" ht="15.75" customHeight="1">
      <c r="A4" s="879" t="s">
        <v>1</v>
      </c>
      <c r="B4" s="880" t="s">
        <v>2</v>
      </c>
      <c r="C4" s="852" t="s">
        <v>3</v>
      </c>
      <c r="D4" s="861"/>
      <c r="E4" s="852" t="s">
        <v>4</v>
      </c>
      <c r="F4" s="865"/>
      <c r="G4" s="793" t="s">
        <v>5</v>
      </c>
      <c r="H4" s="849"/>
      <c r="I4" s="849"/>
      <c r="J4" s="776"/>
      <c r="K4" s="852" t="s">
        <v>6</v>
      </c>
      <c r="L4" s="849"/>
      <c r="M4" s="849"/>
      <c r="N4" s="861"/>
      <c r="O4" s="852" t="s">
        <v>7</v>
      </c>
      <c r="P4" s="849"/>
      <c r="Q4" s="849"/>
      <c r="R4" s="861"/>
      <c r="S4" s="852" t="s">
        <v>8</v>
      </c>
      <c r="T4" s="849"/>
      <c r="U4" s="849"/>
      <c r="V4" s="861"/>
      <c r="W4" s="852" t="s">
        <v>9</v>
      </c>
      <c r="X4" s="849"/>
      <c r="Y4" s="849"/>
      <c r="Z4" s="861"/>
      <c r="AA4" s="852" t="s">
        <v>150</v>
      </c>
      <c r="AB4" s="849"/>
      <c r="AC4" s="849"/>
      <c r="AD4" s="861"/>
      <c r="AE4" s="852" t="s">
        <v>10</v>
      </c>
      <c r="AF4" s="849"/>
      <c r="AG4" s="849"/>
      <c r="AH4" s="849"/>
      <c r="AI4" s="861"/>
      <c r="AJ4" s="852" t="s">
        <v>11</v>
      </c>
      <c r="AK4" s="849"/>
      <c r="AL4" s="849"/>
      <c r="AM4" s="776"/>
      <c r="AN4" s="792" t="s">
        <v>12</v>
      </c>
      <c r="AO4" s="792"/>
      <c r="AP4" s="792"/>
      <c r="AQ4" s="792"/>
      <c r="AR4" s="5"/>
      <c r="AS4" s="5"/>
      <c r="AT4" s="849" t="s">
        <v>13</v>
      </c>
      <c r="AU4" s="849"/>
      <c r="AV4" s="849"/>
      <c r="AW4" s="849"/>
      <c r="AX4" s="849" t="s">
        <v>14</v>
      </c>
      <c r="AY4" s="849"/>
      <c r="AZ4" s="849"/>
      <c r="BA4" s="849"/>
      <c r="BB4" s="849"/>
      <c r="BC4" s="781" t="s">
        <v>15</v>
      </c>
      <c r="BD4" s="781"/>
      <c r="BE4" s="781"/>
      <c r="BF4" s="781"/>
      <c r="BG4" s="6"/>
      <c r="BH4" s="7"/>
      <c r="BI4" s="7"/>
      <c r="BJ4" s="849" t="s">
        <v>16</v>
      </c>
      <c r="BK4" s="849"/>
      <c r="BL4" s="849"/>
      <c r="BM4" s="849"/>
      <c r="BN4" s="849" t="s">
        <v>17</v>
      </c>
      <c r="BO4" s="849"/>
      <c r="BP4" s="849"/>
      <c r="BQ4" s="849"/>
      <c r="BR4" s="849"/>
      <c r="BS4" s="886" t="s">
        <v>18</v>
      </c>
      <c r="BT4" s="886"/>
      <c r="BU4" s="886"/>
      <c r="BV4" s="849" t="s">
        <v>19</v>
      </c>
      <c r="BW4" s="776"/>
      <c r="BX4" s="852" t="s">
        <v>20</v>
      </c>
      <c r="BY4" s="849"/>
      <c r="BZ4" s="849"/>
      <c r="CA4" s="849"/>
      <c r="CB4" s="849"/>
      <c r="CC4" s="849"/>
      <c r="CD4" s="849"/>
      <c r="CE4" s="849"/>
      <c r="CF4" s="849"/>
      <c r="CG4" s="849"/>
      <c r="CH4" s="849"/>
      <c r="CI4" s="849"/>
      <c r="CJ4" s="849"/>
      <c r="CK4" s="849"/>
      <c r="CL4" s="849"/>
      <c r="CM4" s="861"/>
      <c r="CN4" s="793" t="s">
        <v>21</v>
      </c>
      <c r="CO4" s="849"/>
      <c r="CP4" s="849"/>
      <c r="CQ4" s="849"/>
      <c r="CR4" s="849"/>
      <c r="CS4" s="849"/>
      <c r="CT4" s="849"/>
      <c r="CU4" s="849"/>
      <c r="CV4" s="849"/>
      <c r="CW4" s="849"/>
      <c r="CX4" s="849"/>
      <c r="CY4" s="849"/>
      <c r="CZ4" s="849"/>
      <c r="DA4" s="849"/>
      <c r="DB4" s="849"/>
      <c r="DC4" s="776"/>
      <c r="DD4" s="852" t="s">
        <v>22</v>
      </c>
      <c r="DE4" s="849"/>
      <c r="DF4" s="849"/>
      <c r="DG4" s="849"/>
      <c r="DH4" s="849"/>
      <c r="DI4" s="849"/>
      <c r="DJ4" s="849"/>
      <c r="DK4" s="849"/>
      <c r="DL4" s="849"/>
      <c r="DM4" s="849"/>
      <c r="DN4" s="849"/>
      <c r="DO4" s="861"/>
      <c r="DP4" s="852" t="s">
        <v>23</v>
      </c>
      <c r="DQ4" s="861"/>
      <c r="DR4" s="852" t="s">
        <v>24</v>
      </c>
      <c r="DS4" s="861"/>
      <c r="DT4" s="793" t="s">
        <v>25</v>
      </c>
      <c r="DU4" s="776"/>
      <c r="DV4" s="849" t="s">
        <v>26</v>
      </c>
      <c r="DW4" s="849"/>
      <c r="DX4" s="861"/>
      <c r="DY4" s="852" t="s">
        <v>27</v>
      </c>
      <c r="DZ4" s="849"/>
      <c r="EA4" s="861"/>
      <c r="EB4" s="793" t="s">
        <v>28</v>
      </c>
      <c r="EC4" s="849"/>
      <c r="ED4" s="849"/>
      <c r="EE4" s="849" t="s">
        <v>29</v>
      </c>
      <c r="EF4" s="849"/>
      <c r="EG4" s="849"/>
      <c r="EH4" s="849" t="s">
        <v>30</v>
      </c>
      <c r="EI4" s="849"/>
      <c r="EJ4" s="776"/>
      <c r="EK4" s="852" t="s">
        <v>31</v>
      </c>
      <c r="EL4" s="849"/>
      <c r="EM4" s="861"/>
      <c r="EN4" s="787" t="s">
        <v>160</v>
      </c>
      <c r="EO4" s="788"/>
      <c r="EP4" s="852" t="s">
        <v>32</v>
      </c>
      <c r="EQ4" s="849"/>
      <c r="ER4" s="861"/>
    </row>
    <row r="5" spans="1:148" s="11" customFormat="1" ht="15.75">
      <c r="A5" s="866"/>
      <c r="B5" s="881"/>
      <c r="C5" s="862"/>
      <c r="D5" s="863"/>
      <c r="E5" s="866"/>
      <c r="F5" s="867"/>
      <c r="G5" s="769"/>
      <c r="H5" s="850"/>
      <c r="I5" s="850"/>
      <c r="J5" s="770"/>
      <c r="K5" s="862"/>
      <c r="L5" s="850"/>
      <c r="M5" s="850"/>
      <c r="N5" s="863"/>
      <c r="O5" s="862"/>
      <c r="P5" s="850"/>
      <c r="Q5" s="850"/>
      <c r="R5" s="863"/>
      <c r="S5" s="862"/>
      <c r="T5" s="850"/>
      <c r="U5" s="850"/>
      <c r="V5" s="863"/>
      <c r="W5" s="862"/>
      <c r="X5" s="850"/>
      <c r="Y5" s="850"/>
      <c r="Z5" s="863"/>
      <c r="AA5" s="862"/>
      <c r="AB5" s="850"/>
      <c r="AC5" s="850"/>
      <c r="AD5" s="863"/>
      <c r="AE5" s="862"/>
      <c r="AF5" s="850"/>
      <c r="AG5" s="850"/>
      <c r="AH5" s="850"/>
      <c r="AI5" s="863"/>
      <c r="AJ5" s="862"/>
      <c r="AK5" s="850"/>
      <c r="AL5" s="850"/>
      <c r="AM5" s="770"/>
      <c r="AN5" s="870"/>
      <c r="AO5" s="870"/>
      <c r="AP5" s="870"/>
      <c r="AQ5" s="870"/>
      <c r="AR5" s="8"/>
      <c r="AS5" s="8"/>
      <c r="AT5" s="850"/>
      <c r="AU5" s="850"/>
      <c r="AV5" s="850"/>
      <c r="AW5" s="850"/>
      <c r="AX5" s="850"/>
      <c r="AY5" s="850"/>
      <c r="AZ5" s="850"/>
      <c r="BA5" s="850"/>
      <c r="BB5" s="850"/>
      <c r="BC5" s="782"/>
      <c r="BD5" s="782"/>
      <c r="BE5" s="782"/>
      <c r="BF5" s="782"/>
      <c r="BG5" s="9"/>
      <c r="BH5" s="10"/>
      <c r="BI5" s="10"/>
      <c r="BJ5" s="850"/>
      <c r="BK5" s="850"/>
      <c r="BL5" s="850"/>
      <c r="BM5" s="850"/>
      <c r="BN5" s="850"/>
      <c r="BO5" s="850"/>
      <c r="BP5" s="850"/>
      <c r="BQ5" s="850"/>
      <c r="BR5" s="850"/>
      <c r="BS5" s="887"/>
      <c r="BT5" s="887"/>
      <c r="BU5" s="887"/>
      <c r="BV5" s="850"/>
      <c r="BW5" s="770"/>
      <c r="BX5" s="862"/>
      <c r="BY5" s="850"/>
      <c r="BZ5" s="850"/>
      <c r="CA5" s="850"/>
      <c r="CB5" s="850"/>
      <c r="CC5" s="850"/>
      <c r="CD5" s="850"/>
      <c r="CE5" s="850"/>
      <c r="CF5" s="850"/>
      <c r="CG5" s="850"/>
      <c r="CH5" s="850"/>
      <c r="CI5" s="850"/>
      <c r="CJ5" s="850"/>
      <c r="CK5" s="850"/>
      <c r="CL5" s="850"/>
      <c r="CM5" s="863"/>
      <c r="CN5" s="769"/>
      <c r="CO5" s="850"/>
      <c r="CP5" s="850"/>
      <c r="CQ5" s="850"/>
      <c r="CR5" s="850"/>
      <c r="CS5" s="850"/>
      <c r="CT5" s="850"/>
      <c r="CU5" s="850"/>
      <c r="CV5" s="850"/>
      <c r="CW5" s="850"/>
      <c r="CX5" s="850"/>
      <c r="CY5" s="850"/>
      <c r="CZ5" s="850"/>
      <c r="DA5" s="850"/>
      <c r="DB5" s="850"/>
      <c r="DC5" s="770"/>
      <c r="DD5" s="862"/>
      <c r="DE5" s="850"/>
      <c r="DF5" s="850"/>
      <c r="DG5" s="850"/>
      <c r="DH5" s="850"/>
      <c r="DI5" s="850"/>
      <c r="DJ5" s="850"/>
      <c r="DK5" s="850"/>
      <c r="DL5" s="850"/>
      <c r="DM5" s="850"/>
      <c r="DN5" s="850"/>
      <c r="DO5" s="863"/>
      <c r="DP5" s="862"/>
      <c r="DQ5" s="863"/>
      <c r="DR5" s="862"/>
      <c r="DS5" s="863"/>
      <c r="DT5" s="769"/>
      <c r="DU5" s="770"/>
      <c r="DV5" s="850"/>
      <c r="DW5" s="850"/>
      <c r="DX5" s="863"/>
      <c r="DY5" s="862"/>
      <c r="DZ5" s="850"/>
      <c r="EA5" s="863"/>
      <c r="EB5" s="769"/>
      <c r="EC5" s="850"/>
      <c r="ED5" s="850"/>
      <c r="EE5" s="850"/>
      <c r="EF5" s="850"/>
      <c r="EG5" s="850"/>
      <c r="EH5" s="850"/>
      <c r="EI5" s="850"/>
      <c r="EJ5" s="770"/>
      <c r="EK5" s="862"/>
      <c r="EL5" s="850"/>
      <c r="EM5" s="863"/>
      <c r="EN5" s="789"/>
      <c r="EO5" s="790"/>
      <c r="EP5" s="862"/>
      <c r="EQ5" s="850"/>
      <c r="ER5" s="863"/>
    </row>
    <row r="6" spans="1:148" s="16" customFormat="1" ht="153" customHeight="1" thickBot="1">
      <c r="A6" s="866"/>
      <c r="B6" s="881"/>
      <c r="C6" s="853"/>
      <c r="D6" s="864"/>
      <c r="E6" s="868"/>
      <c r="F6" s="869"/>
      <c r="G6" s="771"/>
      <c r="H6" s="851"/>
      <c r="I6" s="851"/>
      <c r="J6" s="772"/>
      <c r="K6" s="853"/>
      <c r="L6" s="851"/>
      <c r="M6" s="851"/>
      <c r="N6" s="864"/>
      <c r="O6" s="853"/>
      <c r="P6" s="851"/>
      <c r="Q6" s="851"/>
      <c r="R6" s="864"/>
      <c r="S6" s="853"/>
      <c r="T6" s="851"/>
      <c r="U6" s="851"/>
      <c r="V6" s="864"/>
      <c r="W6" s="853"/>
      <c r="X6" s="851"/>
      <c r="Y6" s="851"/>
      <c r="Z6" s="864"/>
      <c r="AA6" s="853"/>
      <c r="AB6" s="851"/>
      <c r="AC6" s="851"/>
      <c r="AD6" s="864"/>
      <c r="AE6" s="853"/>
      <c r="AF6" s="851"/>
      <c r="AG6" s="851"/>
      <c r="AH6" s="851"/>
      <c r="AI6" s="864"/>
      <c r="AJ6" s="853"/>
      <c r="AK6" s="851"/>
      <c r="AL6" s="851"/>
      <c r="AM6" s="772"/>
      <c r="AN6" s="856"/>
      <c r="AO6" s="856"/>
      <c r="AP6" s="856"/>
      <c r="AQ6" s="856"/>
      <c r="AR6" s="13"/>
      <c r="AS6" s="13"/>
      <c r="AT6" s="851"/>
      <c r="AU6" s="851"/>
      <c r="AV6" s="851"/>
      <c r="AW6" s="851"/>
      <c r="AX6" s="851"/>
      <c r="AY6" s="851"/>
      <c r="AZ6" s="851"/>
      <c r="BA6" s="851"/>
      <c r="BB6" s="851"/>
      <c r="BC6" s="783"/>
      <c r="BD6" s="783"/>
      <c r="BE6" s="783"/>
      <c r="BF6" s="783"/>
      <c r="BG6" s="14"/>
      <c r="BH6" s="15"/>
      <c r="BI6" s="15"/>
      <c r="BJ6" s="851"/>
      <c r="BK6" s="851"/>
      <c r="BL6" s="851"/>
      <c r="BM6" s="851"/>
      <c r="BN6" s="851"/>
      <c r="BO6" s="851"/>
      <c r="BP6" s="851"/>
      <c r="BQ6" s="851"/>
      <c r="BR6" s="851"/>
      <c r="BS6" s="888"/>
      <c r="BT6" s="888"/>
      <c r="BU6" s="888"/>
      <c r="BV6" s="851"/>
      <c r="BW6" s="772"/>
      <c r="BX6" s="853"/>
      <c r="BY6" s="851"/>
      <c r="BZ6" s="851"/>
      <c r="CA6" s="851"/>
      <c r="CB6" s="851"/>
      <c r="CC6" s="851"/>
      <c r="CD6" s="851"/>
      <c r="CE6" s="851"/>
      <c r="CF6" s="851"/>
      <c r="CG6" s="851"/>
      <c r="CH6" s="851"/>
      <c r="CI6" s="851"/>
      <c r="CJ6" s="851"/>
      <c r="CK6" s="851"/>
      <c r="CL6" s="851"/>
      <c r="CM6" s="864"/>
      <c r="CN6" s="771"/>
      <c r="CO6" s="851"/>
      <c r="CP6" s="851"/>
      <c r="CQ6" s="851"/>
      <c r="CR6" s="851"/>
      <c r="CS6" s="851"/>
      <c r="CT6" s="851"/>
      <c r="CU6" s="851"/>
      <c r="CV6" s="851"/>
      <c r="CW6" s="851"/>
      <c r="CX6" s="851"/>
      <c r="CY6" s="851"/>
      <c r="CZ6" s="851"/>
      <c r="DA6" s="851"/>
      <c r="DB6" s="851"/>
      <c r="DC6" s="772"/>
      <c r="DD6" s="853"/>
      <c r="DE6" s="851"/>
      <c r="DF6" s="851"/>
      <c r="DG6" s="851"/>
      <c r="DH6" s="851"/>
      <c r="DI6" s="851"/>
      <c r="DJ6" s="851"/>
      <c r="DK6" s="851"/>
      <c r="DL6" s="851"/>
      <c r="DM6" s="851"/>
      <c r="DN6" s="851"/>
      <c r="DO6" s="864"/>
      <c r="DP6" s="853"/>
      <c r="DQ6" s="864"/>
      <c r="DR6" s="853"/>
      <c r="DS6" s="864"/>
      <c r="DT6" s="771"/>
      <c r="DU6" s="772"/>
      <c r="DV6" s="851"/>
      <c r="DW6" s="851"/>
      <c r="DX6" s="864"/>
      <c r="DY6" s="853"/>
      <c r="DZ6" s="851"/>
      <c r="EA6" s="864"/>
      <c r="EB6" s="771"/>
      <c r="EC6" s="851"/>
      <c r="ED6" s="851"/>
      <c r="EE6" s="851"/>
      <c r="EF6" s="851"/>
      <c r="EG6" s="851"/>
      <c r="EH6" s="851"/>
      <c r="EI6" s="851"/>
      <c r="EJ6" s="772"/>
      <c r="EK6" s="853"/>
      <c r="EL6" s="851"/>
      <c r="EM6" s="864"/>
      <c r="EN6" s="777"/>
      <c r="EO6" s="778"/>
      <c r="EP6" s="862"/>
      <c r="EQ6" s="850"/>
      <c r="ER6" s="863"/>
    </row>
    <row r="7" spans="1:148" s="16" customFormat="1" ht="16.5" thickBot="1">
      <c r="A7" s="866"/>
      <c r="B7" s="881"/>
      <c r="C7" s="784" t="s">
        <v>33</v>
      </c>
      <c r="D7" s="775"/>
      <c r="E7" s="784" t="s">
        <v>34</v>
      </c>
      <c r="F7" s="775"/>
      <c r="G7" s="773" t="s">
        <v>35</v>
      </c>
      <c r="H7" s="821"/>
      <c r="I7" s="821"/>
      <c r="J7" s="774"/>
      <c r="K7" s="784" t="s">
        <v>36</v>
      </c>
      <c r="L7" s="821"/>
      <c r="M7" s="821"/>
      <c r="N7" s="775"/>
      <c r="O7" s="784" t="s">
        <v>37</v>
      </c>
      <c r="P7" s="821"/>
      <c r="Q7" s="821"/>
      <c r="R7" s="775"/>
      <c r="S7" s="784" t="s">
        <v>38</v>
      </c>
      <c r="T7" s="821"/>
      <c r="U7" s="821"/>
      <c r="V7" s="775"/>
      <c r="W7" s="784" t="s">
        <v>39</v>
      </c>
      <c r="X7" s="821"/>
      <c r="Y7" s="821"/>
      <c r="Z7" s="775"/>
      <c r="AA7" s="784" t="s">
        <v>40</v>
      </c>
      <c r="AB7" s="821"/>
      <c r="AC7" s="821"/>
      <c r="AD7" s="775"/>
      <c r="AE7" s="784" t="s">
        <v>41</v>
      </c>
      <c r="AF7" s="821"/>
      <c r="AG7" s="821"/>
      <c r="AH7" s="821"/>
      <c r="AI7" s="775"/>
      <c r="AJ7" s="784" t="s">
        <v>42</v>
      </c>
      <c r="AK7" s="821"/>
      <c r="AL7" s="821"/>
      <c r="AM7" s="774"/>
      <c r="AN7" s="786" t="s">
        <v>43</v>
      </c>
      <c r="AO7" s="786"/>
      <c r="AP7" s="786"/>
      <c r="AQ7" s="786"/>
      <c r="AR7" s="17"/>
      <c r="AS7" s="17"/>
      <c r="AT7" s="821" t="s">
        <v>44</v>
      </c>
      <c r="AU7" s="821"/>
      <c r="AV7" s="821"/>
      <c r="AW7" s="821"/>
      <c r="AX7" s="821" t="s">
        <v>45</v>
      </c>
      <c r="AY7" s="821"/>
      <c r="AZ7" s="821"/>
      <c r="BA7" s="821"/>
      <c r="BB7" s="821"/>
      <c r="BC7" s="821" t="s">
        <v>46</v>
      </c>
      <c r="BD7" s="821"/>
      <c r="BE7" s="821"/>
      <c r="BF7" s="821"/>
      <c r="BG7" s="18"/>
      <c r="BH7" s="19"/>
      <c r="BI7" s="19"/>
      <c r="BJ7" s="821" t="s">
        <v>47</v>
      </c>
      <c r="BK7" s="821"/>
      <c r="BL7" s="821"/>
      <c r="BM7" s="821"/>
      <c r="BN7" s="894" t="s">
        <v>48</v>
      </c>
      <c r="BO7" s="894"/>
      <c r="BP7" s="894"/>
      <c r="BQ7" s="894"/>
      <c r="BR7" s="894"/>
      <c r="BS7" s="821" t="s">
        <v>49</v>
      </c>
      <c r="BT7" s="821"/>
      <c r="BU7" s="821"/>
      <c r="BV7" s="821" t="s">
        <v>50</v>
      </c>
      <c r="BW7" s="774"/>
      <c r="BX7" s="784" t="s">
        <v>51</v>
      </c>
      <c r="BY7" s="821"/>
      <c r="BZ7" s="821"/>
      <c r="CA7" s="821"/>
      <c r="CB7" s="821"/>
      <c r="CC7" s="821"/>
      <c r="CD7" s="821"/>
      <c r="CE7" s="821"/>
      <c r="CF7" s="821"/>
      <c r="CG7" s="821"/>
      <c r="CH7" s="821"/>
      <c r="CI7" s="821"/>
      <c r="CJ7" s="821"/>
      <c r="CK7" s="821"/>
      <c r="CL7" s="821"/>
      <c r="CM7" s="775"/>
      <c r="CN7" s="773" t="s">
        <v>52</v>
      </c>
      <c r="CO7" s="821"/>
      <c r="CP7" s="821"/>
      <c r="CQ7" s="821"/>
      <c r="CR7" s="821"/>
      <c r="CS7" s="821"/>
      <c r="CT7" s="821"/>
      <c r="CU7" s="821"/>
      <c r="CV7" s="821"/>
      <c r="CW7" s="821"/>
      <c r="CX7" s="821"/>
      <c r="CY7" s="821"/>
      <c r="CZ7" s="821"/>
      <c r="DA7" s="821"/>
      <c r="DB7" s="821"/>
      <c r="DC7" s="774"/>
      <c r="DD7" s="784" t="s">
        <v>53</v>
      </c>
      <c r="DE7" s="821"/>
      <c r="DF7" s="821"/>
      <c r="DG7" s="821"/>
      <c r="DH7" s="821"/>
      <c r="DI7" s="821"/>
      <c r="DJ7" s="821"/>
      <c r="DK7" s="821"/>
      <c r="DL7" s="821"/>
      <c r="DM7" s="821"/>
      <c r="DN7" s="821"/>
      <c r="DO7" s="775"/>
      <c r="DP7" s="784" t="s">
        <v>54</v>
      </c>
      <c r="DQ7" s="775"/>
      <c r="DR7" s="784" t="s">
        <v>55</v>
      </c>
      <c r="DS7" s="775"/>
      <c r="DT7" s="773" t="s">
        <v>56</v>
      </c>
      <c r="DU7" s="774"/>
      <c r="DV7" s="821" t="s">
        <v>57</v>
      </c>
      <c r="DW7" s="821"/>
      <c r="DX7" s="775"/>
      <c r="DY7" s="784" t="s">
        <v>58</v>
      </c>
      <c r="DZ7" s="821"/>
      <c r="EA7" s="775"/>
      <c r="EB7" s="773" t="s">
        <v>59</v>
      </c>
      <c r="EC7" s="821"/>
      <c r="ED7" s="821"/>
      <c r="EE7" s="821" t="s">
        <v>60</v>
      </c>
      <c r="EF7" s="821"/>
      <c r="EG7" s="821"/>
      <c r="EH7" s="821" t="s">
        <v>61</v>
      </c>
      <c r="EI7" s="821"/>
      <c r="EJ7" s="774"/>
      <c r="EK7" s="784" t="s">
        <v>63</v>
      </c>
      <c r="EL7" s="821"/>
      <c r="EM7" s="775"/>
      <c r="EN7" s="779" t="s">
        <v>62</v>
      </c>
      <c r="EO7" s="780"/>
      <c r="EP7" s="877"/>
      <c r="EQ7" s="791"/>
      <c r="ER7" s="878"/>
    </row>
    <row r="8" spans="1:148" s="16" customFormat="1" ht="111.75" customHeight="1" thickBot="1">
      <c r="A8" s="866"/>
      <c r="B8" s="881"/>
      <c r="C8" s="852" t="s">
        <v>64</v>
      </c>
      <c r="D8" s="854" t="s">
        <v>65</v>
      </c>
      <c r="E8" s="852" t="s">
        <v>64</v>
      </c>
      <c r="F8" s="854" t="s">
        <v>65</v>
      </c>
      <c r="G8" s="793" t="s">
        <v>66</v>
      </c>
      <c r="H8" s="849" t="s">
        <v>67</v>
      </c>
      <c r="I8" s="849" t="s">
        <v>64</v>
      </c>
      <c r="J8" s="857" t="s">
        <v>65</v>
      </c>
      <c r="K8" s="852" t="s">
        <v>67</v>
      </c>
      <c r="L8" s="849" t="s">
        <v>68</v>
      </c>
      <c r="M8" s="849" t="s">
        <v>64</v>
      </c>
      <c r="N8" s="854" t="s">
        <v>65</v>
      </c>
      <c r="O8" s="852" t="s">
        <v>67</v>
      </c>
      <c r="P8" s="849" t="s">
        <v>69</v>
      </c>
      <c r="Q8" s="849" t="s">
        <v>64</v>
      </c>
      <c r="R8" s="854" t="s">
        <v>65</v>
      </c>
      <c r="S8" s="852" t="s">
        <v>70</v>
      </c>
      <c r="T8" s="849" t="s">
        <v>71</v>
      </c>
      <c r="U8" s="849" t="s">
        <v>64</v>
      </c>
      <c r="V8" s="854" t="s">
        <v>65</v>
      </c>
      <c r="W8" s="852" t="s">
        <v>72</v>
      </c>
      <c r="X8" s="849" t="s">
        <v>73</v>
      </c>
      <c r="Y8" s="849" t="s">
        <v>64</v>
      </c>
      <c r="Z8" s="854" t="s">
        <v>65</v>
      </c>
      <c r="AA8" s="852" t="s">
        <v>74</v>
      </c>
      <c r="AB8" s="849" t="s">
        <v>75</v>
      </c>
      <c r="AC8" s="849" t="s">
        <v>64</v>
      </c>
      <c r="AD8" s="854" t="s">
        <v>65</v>
      </c>
      <c r="AE8" s="852" t="s">
        <v>76</v>
      </c>
      <c r="AF8" s="849" t="s">
        <v>77</v>
      </c>
      <c r="AG8" s="849" t="s">
        <v>78</v>
      </c>
      <c r="AH8" s="849" t="s">
        <v>64</v>
      </c>
      <c r="AI8" s="854" t="s">
        <v>65</v>
      </c>
      <c r="AJ8" s="852" t="s">
        <v>154</v>
      </c>
      <c r="AK8" s="849" t="s">
        <v>155</v>
      </c>
      <c r="AL8" s="849" t="s">
        <v>64</v>
      </c>
      <c r="AM8" s="857" t="s">
        <v>65</v>
      </c>
      <c r="AN8" s="792" t="s">
        <v>79</v>
      </c>
      <c r="AO8" s="792" t="s">
        <v>80</v>
      </c>
      <c r="AP8" s="792" t="s">
        <v>64</v>
      </c>
      <c r="AQ8" s="859" t="s">
        <v>81</v>
      </c>
      <c r="AR8" s="20"/>
      <c r="AS8" s="871" t="s">
        <v>82</v>
      </c>
      <c r="AT8" s="849" t="s">
        <v>82</v>
      </c>
      <c r="AU8" s="849" t="s">
        <v>83</v>
      </c>
      <c r="AV8" s="849" t="s">
        <v>64</v>
      </c>
      <c r="AW8" s="859" t="s">
        <v>65</v>
      </c>
      <c r="AX8" s="849" t="s">
        <v>84</v>
      </c>
      <c r="AY8" s="849" t="s">
        <v>85</v>
      </c>
      <c r="AZ8" s="849"/>
      <c r="BA8" s="792" t="s">
        <v>86</v>
      </c>
      <c r="BB8" s="792" t="s">
        <v>87</v>
      </c>
      <c r="BC8" s="849" t="s">
        <v>88</v>
      </c>
      <c r="BD8" s="849" t="s">
        <v>89</v>
      </c>
      <c r="BE8" s="849" t="s">
        <v>64</v>
      </c>
      <c r="BF8" s="859" t="s">
        <v>65</v>
      </c>
      <c r="BG8" s="21"/>
      <c r="BH8" s="21"/>
      <c r="BI8" s="21"/>
      <c r="BJ8" s="792" t="s">
        <v>90</v>
      </c>
      <c r="BK8" s="849" t="s">
        <v>91</v>
      </c>
      <c r="BL8" s="849" t="s">
        <v>64</v>
      </c>
      <c r="BM8" s="859" t="s">
        <v>65</v>
      </c>
      <c r="BN8" s="792" t="s">
        <v>92</v>
      </c>
      <c r="BO8" s="849" t="s">
        <v>93</v>
      </c>
      <c r="BP8" s="849" t="s">
        <v>94</v>
      </c>
      <c r="BQ8" s="849" t="s">
        <v>64</v>
      </c>
      <c r="BR8" s="859" t="s">
        <v>65</v>
      </c>
      <c r="BS8" s="792" t="s">
        <v>95</v>
      </c>
      <c r="BT8" s="900" t="s">
        <v>64</v>
      </c>
      <c r="BU8" s="859" t="s">
        <v>65</v>
      </c>
      <c r="BV8" s="849" t="s">
        <v>64</v>
      </c>
      <c r="BW8" s="892" t="s">
        <v>65</v>
      </c>
      <c r="BX8" s="875" t="s">
        <v>96</v>
      </c>
      <c r="BY8" s="792"/>
      <c r="BZ8" s="792" t="s">
        <v>156</v>
      </c>
      <c r="CA8" s="792"/>
      <c r="CB8" s="889" t="s">
        <v>97</v>
      </c>
      <c r="CC8" s="890"/>
      <c r="CD8" s="792" t="s">
        <v>151</v>
      </c>
      <c r="CE8" s="792"/>
      <c r="CF8" s="792" t="s">
        <v>161</v>
      </c>
      <c r="CG8" s="792"/>
      <c r="CH8" s="876"/>
      <c r="CI8" s="876"/>
      <c r="CJ8" s="792" t="s">
        <v>98</v>
      </c>
      <c r="CK8" s="792"/>
      <c r="CL8" s="792" t="s">
        <v>105</v>
      </c>
      <c r="CM8" s="785"/>
      <c r="CN8" s="793" t="s">
        <v>99</v>
      </c>
      <c r="CO8" s="849"/>
      <c r="CP8" s="873" t="s">
        <v>152</v>
      </c>
      <c r="CQ8" s="873"/>
      <c r="CR8" s="792" t="s">
        <v>157</v>
      </c>
      <c r="CS8" s="792"/>
      <c r="CT8" s="792" t="s">
        <v>153</v>
      </c>
      <c r="CU8" s="792"/>
      <c r="CV8" s="792" t="s">
        <v>162</v>
      </c>
      <c r="CW8" s="792"/>
      <c r="CX8" s="786" t="s">
        <v>100</v>
      </c>
      <c r="CY8" s="786"/>
      <c r="CZ8" s="786" t="s">
        <v>101</v>
      </c>
      <c r="DA8" s="786"/>
      <c r="DB8" s="786" t="s">
        <v>105</v>
      </c>
      <c r="DC8" s="891"/>
      <c r="DD8" s="875" t="s">
        <v>158</v>
      </c>
      <c r="DE8" s="792"/>
      <c r="DF8" s="792" t="s">
        <v>102</v>
      </c>
      <c r="DG8" s="792"/>
      <c r="DH8" s="792" t="s">
        <v>103</v>
      </c>
      <c r="DI8" s="792"/>
      <c r="DJ8" s="792" t="s">
        <v>159</v>
      </c>
      <c r="DK8" s="792"/>
      <c r="DL8" s="792" t="s">
        <v>104</v>
      </c>
      <c r="DM8" s="792"/>
      <c r="DN8" s="792" t="s">
        <v>105</v>
      </c>
      <c r="DO8" s="885"/>
      <c r="DP8" s="883" t="s">
        <v>64</v>
      </c>
      <c r="DQ8" s="883" t="s">
        <v>65</v>
      </c>
      <c r="DR8" s="852" t="s">
        <v>64</v>
      </c>
      <c r="DS8" s="861" t="s">
        <v>65</v>
      </c>
      <c r="DT8" s="793" t="s">
        <v>64</v>
      </c>
      <c r="DU8" s="776" t="s">
        <v>65</v>
      </c>
      <c r="DV8" s="849" t="s">
        <v>106</v>
      </c>
      <c r="DW8" s="849" t="s">
        <v>64</v>
      </c>
      <c r="DX8" s="861" t="s">
        <v>65</v>
      </c>
      <c r="DY8" s="852" t="s">
        <v>106</v>
      </c>
      <c r="DZ8" s="849" t="s">
        <v>64</v>
      </c>
      <c r="EA8" s="861" t="s">
        <v>65</v>
      </c>
      <c r="EB8" s="793" t="s">
        <v>106</v>
      </c>
      <c r="EC8" s="849" t="s">
        <v>64</v>
      </c>
      <c r="ED8" s="849" t="s">
        <v>65</v>
      </c>
      <c r="EE8" s="849" t="s">
        <v>106</v>
      </c>
      <c r="EF8" s="849" t="s">
        <v>64</v>
      </c>
      <c r="EG8" s="849" t="s">
        <v>65</v>
      </c>
      <c r="EH8" s="849" t="s">
        <v>106</v>
      </c>
      <c r="EI8" s="776" t="s">
        <v>64</v>
      </c>
      <c r="EJ8" s="883" t="s">
        <v>65</v>
      </c>
      <c r="EK8" s="895" t="s">
        <v>106</v>
      </c>
      <c r="EL8" s="876" t="s">
        <v>64</v>
      </c>
      <c r="EM8" s="898" t="s">
        <v>65</v>
      </c>
      <c r="EN8" s="845" t="s">
        <v>64</v>
      </c>
      <c r="EO8" s="847" t="s">
        <v>65</v>
      </c>
      <c r="EP8" s="852" t="s">
        <v>107</v>
      </c>
      <c r="EQ8" s="849" t="s">
        <v>108</v>
      </c>
      <c r="ER8" s="861" t="s">
        <v>110</v>
      </c>
    </row>
    <row r="9" spans="1:148" s="11" customFormat="1" ht="96.75" customHeight="1" thickBot="1">
      <c r="A9" s="868"/>
      <c r="B9" s="882"/>
      <c r="C9" s="853"/>
      <c r="D9" s="855"/>
      <c r="E9" s="853"/>
      <c r="F9" s="855"/>
      <c r="G9" s="771"/>
      <c r="H9" s="851"/>
      <c r="I9" s="851"/>
      <c r="J9" s="858"/>
      <c r="K9" s="853"/>
      <c r="L9" s="851"/>
      <c r="M9" s="851"/>
      <c r="N9" s="855"/>
      <c r="O9" s="853"/>
      <c r="P9" s="851"/>
      <c r="Q9" s="851"/>
      <c r="R9" s="855"/>
      <c r="S9" s="853"/>
      <c r="T9" s="851"/>
      <c r="U9" s="851"/>
      <c r="V9" s="855"/>
      <c r="W9" s="853"/>
      <c r="X9" s="851"/>
      <c r="Y9" s="851"/>
      <c r="Z9" s="855"/>
      <c r="AA9" s="853"/>
      <c r="AB9" s="851"/>
      <c r="AC9" s="851"/>
      <c r="AD9" s="874"/>
      <c r="AE9" s="853"/>
      <c r="AF9" s="851"/>
      <c r="AG9" s="851"/>
      <c r="AH9" s="851"/>
      <c r="AI9" s="855"/>
      <c r="AJ9" s="853"/>
      <c r="AK9" s="851"/>
      <c r="AL9" s="851"/>
      <c r="AM9" s="858"/>
      <c r="AN9" s="856"/>
      <c r="AO9" s="856"/>
      <c r="AP9" s="856"/>
      <c r="AQ9" s="860"/>
      <c r="AR9" s="22"/>
      <c r="AS9" s="872"/>
      <c r="AT9" s="851"/>
      <c r="AU9" s="851"/>
      <c r="AV9" s="851"/>
      <c r="AW9" s="860"/>
      <c r="AX9" s="851"/>
      <c r="AY9" s="14" t="s">
        <v>111</v>
      </c>
      <c r="AZ9" s="14" t="s">
        <v>112</v>
      </c>
      <c r="BA9" s="856"/>
      <c r="BB9" s="856"/>
      <c r="BC9" s="851"/>
      <c r="BD9" s="851"/>
      <c r="BE9" s="851"/>
      <c r="BF9" s="860"/>
      <c r="BG9" s="23"/>
      <c r="BH9" s="23"/>
      <c r="BI9" s="23"/>
      <c r="BJ9" s="856"/>
      <c r="BK9" s="851"/>
      <c r="BL9" s="851"/>
      <c r="BM9" s="860"/>
      <c r="BN9" s="856"/>
      <c r="BO9" s="851"/>
      <c r="BP9" s="851"/>
      <c r="BQ9" s="791"/>
      <c r="BR9" s="860"/>
      <c r="BS9" s="856"/>
      <c r="BT9" s="901"/>
      <c r="BU9" s="860"/>
      <c r="BV9" s="791"/>
      <c r="BW9" s="893"/>
      <c r="BX9" s="217" t="s">
        <v>113</v>
      </c>
      <c r="BY9" s="218" t="s">
        <v>65</v>
      </c>
      <c r="BZ9" s="150" t="s">
        <v>113</v>
      </c>
      <c r="CA9" s="157" t="s">
        <v>65</v>
      </c>
      <c r="CB9" s="150" t="s">
        <v>113</v>
      </c>
      <c r="CC9" s="157" t="s">
        <v>65</v>
      </c>
      <c r="CD9" s="150" t="s">
        <v>113</v>
      </c>
      <c r="CE9" s="157" t="s">
        <v>65</v>
      </c>
      <c r="CF9" s="150" t="s">
        <v>113</v>
      </c>
      <c r="CG9" s="157" t="s">
        <v>65</v>
      </c>
      <c r="CH9" s="14" t="s">
        <v>113</v>
      </c>
      <c r="CI9" s="23" t="s">
        <v>65</v>
      </c>
      <c r="CJ9" s="150" t="s">
        <v>113</v>
      </c>
      <c r="CK9" s="157" t="s">
        <v>65</v>
      </c>
      <c r="CL9" s="150" t="s">
        <v>64</v>
      </c>
      <c r="CM9" s="266" t="s">
        <v>65</v>
      </c>
      <c r="CN9" s="12" t="s">
        <v>114</v>
      </c>
      <c r="CO9" s="14" t="s">
        <v>65</v>
      </c>
      <c r="CP9" s="14" t="s">
        <v>114</v>
      </c>
      <c r="CQ9" s="14" t="s">
        <v>65</v>
      </c>
      <c r="CR9" s="150" t="s">
        <v>114</v>
      </c>
      <c r="CS9" s="157" t="s">
        <v>65</v>
      </c>
      <c r="CT9" s="150" t="s">
        <v>114</v>
      </c>
      <c r="CU9" s="233" t="s">
        <v>65</v>
      </c>
      <c r="CV9" s="234" t="s">
        <v>114</v>
      </c>
      <c r="CW9" s="235" t="s">
        <v>65</v>
      </c>
      <c r="CX9" s="234" t="s">
        <v>114</v>
      </c>
      <c r="CY9" s="235" t="s">
        <v>65</v>
      </c>
      <c r="CZ9" s="236" t="s">
        <v>114</v>
      </c>
      <c r="DA9" s="235" t="s">
        <v>65</v>
      </c>
      <c r="DB9" s="236" t="s">
        <v>64</v>
      </c>
      <c r="DC9" s="237" t="s">
        <v>65</v>
      </c>
      <c r="DD9" s="249" t="s">
        <v>114</v>
      </c>
      <c r="DE9" s="157" t="s">
        <v>65</v>
      </c>
      <c r="DF9" s="150" t="s">
        <v>114</v>
      </c>
      <c r="DG9" s="157" t="s">
        <v>65</v>
      </c>
      <c r="DH9" s="150" t="s">
        <v>114</v>
      </c>
      <c r="DI9" s="157" t="s">
        <v>65</v>
      </c>
      <c r="DJ9" s="150" t="s">
        <v>114</v>
      </c>
      <c r="DK9" s="157" t="s">
        <v>65</v>
      </c>
      <c r="DL9" s="150" t="s">
        <v>114</v>
      </c>
      <c r="DM9" s="157" t="s">
        <v>65</v>
      </c>
      <c r="DN9" s="262" t="s">
        <v>64</v>
      </c>
      <c r="DO9" s="263" t="s">
        <v>65</v>
      </c>
      <c r="DP9" s="884"/>
      <c r="DQ9" s="884"/>
      <c r="DR9" s="877"/>
      <c r="DS9" s="864"/>
      <c r="DT9" s="771"/>
      <c r="DU9" s="772"/>
      <c r="DV9" s="851"/>
      <c r="DW9" s="851"/>
      <c r="DX9" s="864"/>
      <c r="DY9" s="853"/>
      <c r="DZ9" s="851"/>
      <c r="EA9" s="864"/>
      <c r="EB9" s="771"/>
      <c r="EC9" s="851"/>
      <c r="ED9" s="851"/>
      <c r="EE9" s="851"/>
      <c r="EF9" s="851"/>
      <c r="EG9" s="851"/>
      <c r="EH9" s="851"/>
      <c r="EI9" s="772"/>
      <c r="EJ9" s="884"/>
      <c r="EK9" s="896"/>
      <c r="EL9" s="897"/>
      <c r="EM9" s="899"/>
      <c r="EN9" s="846"/>
      <c r="EO9" s="848"/>
      <c r="EP9" s="853"/>
      <c r="EQ9" s="851"/>
      <c r="ER9" s="864"/>
    </row>
    <row r="10" spans="1:149" s="54" customFormat="1" ht="18.75">
      <c r="A10" s="24">
        <f aca="true" t="shared" si="0" ref="A10:A33">A9+1</f>
        <v>1</v>
      </c>
      <c r="B10" s="368" t="s">
        <v>115</v>
      </c>
      <c r="C10" s="25">
        <v>0</v>
      </c>
      <c r="D10" s="28">
        <v>1</v>
      </c>
      <c r="E10" s="25">
        <v>0</v>
      </c>
      <c r="F10" s="28">
        <v>1</v>
      </c>
      <c r="G10" s="188">
        <v>4441.3</v>
      </c>
      <c r="H10" s="183">
        <v>2634.24895</v>
      </c>
      <c r="I10" s="26">
        <f aca="true" t="shared" si="1" ref="I10:I34">(G10-H10)/G10*100%</f>
        <v>0.40687434985252063</v>
      </c>
      <c r="J10" s="153">
        <v>0</v>
      </c>
      <c r="K10" s="188">
        <v>2634.24895</v>
      </c>
      <c r="L10" s="183">
        <v>9363.79463</v>
      </c>
      <c r="M10" s="26">
        <f aca="true" t="shared" si="2" ref="M10:M34">K10/L10*100%</f>
        <v>0.2813228027834267</v>
      </c>
      <c r="N10" s="27">
        <v>0.3</v>
      </c>
      <c r="O10" s="188">
        <v>2634.24895</v>
      </c>
      <c r="P10" s="183">
        <v>2634.24895</v>
      </c>
      <c r="Q10" s="26">
        <f aca="true" t="shared" si="3" ref="Q10:Q34">O10/P10*100%</f>
        <v>1</v>
      </c>
      <c r="R10" s="28">
        <v>1</v>
      </c>
      <c r="S10" s="188">
        <v>2634.24895</v>
      </c>
      <c r="T10" s="183">
        <v>1904.09823</v>
      </c>
      <c r="U10" s="29">
        <f aca="true" t="shared" si="4" ref="U10:U34">S10/T10*100%</f>
        <v>1.383462737634077</v>
      </c>
      <c r="V10" s="154">
        <v>1</v>
      </c>
      <c r="W10" s="188">
        <v>876.088</v>
      </c>
      <c r="X10" s="183">
        <v>1183.3999</v>
      </c>
      <c r="Y10" s="29">
        <f aca="true" t="shared" si="5" ref="Y10:Y34">X10/W10*100%</f>
        <v>1.350777433317201</v>
      </c>
      <c r="Z10" s="154">
        <v>0</v>
      </c>
      <c r="AA10" s="188">
        <v>1183.3999</v>
      </c>
      <c r="AB10" s="183">
        <v>2437.96573</v>
      </c>
      <c r="AC10" s="29">
        <f aca="true" t="shared" si="6" ref="AC10:AC34">AA10/AB10*100%</f>
        <v>0.48540464922778054</v>
      </c>
      <c r="AD10" s="181">
        <f aca="true" t="shared" si="7" ref="AD10:AD33">1-AC10/100%</f>
        <v>0.5145953507722194</v>
      </c>
      <c r="AE10" s="182">
        <v>6729.54568</v>
      </c>
      <c r="AF10" s="183">
        <v>9363.79463</v>
      </c>
      <c r="AG10" s="183">
        <v>135.7</v>
      </c>
      <c r="AH10" s="26">
        <f aca="true" t="shared" si="8" ref="AH10:AH34">AE10/(AF10-AG10)*100%</f>
        <v>0.7292454130371223</v>
      </c>
      <c r="AI10" s="30">
        <v>0.3</v>
      </c>
      <c r="AJ10" s="193">
        <v>148.5</v>
      </c>
      <c r="AK10" s="194">
        <v>196.9</v>
      </c>
      <c r="AL10" s="194">
        <f aca="true" t="shared" si="9" ref="AL10:AL34">AJ10-AK10</f>
        <v>-48.400000000000006</v>
      </c>
      <c r="AM10" s="146">
        <v>1</v>
      </c>
      <c r="AN10" s="31">
        <v>1904.6</v>
      </c>
      <c r="AO10" s="31">
        <v>2639.7</v>
      </c>
      <c r="AP10" s="32">
        <f aca="true" t="shared" si="10" ref="AP10:AP34">AN10*100%/AO10</f>
        <v>0.7215213850058719</v>
      </c>
      <c r="AQ10" s="33">
        <v>1</v>
      </c>
      <c r="AR10" s="34">
        <f>AT10*100/AT43</f>
        <v>1.9302344602746584</v>
      </c>
      <c r="AS10" s="143">
        <v>7386.63</v>
      </c>
      <c r="AT10" s="31">
        <v>7386.6</v>
      </c>
      <c r="AU10" s="31">
        <v>3747.6</v>
      </c>
      <c r="AV10" s="26">
        <f aca="true" t="shared" si="11" ref="AV10:AV34">AU10*100%/AS10</f>
        <v>0.5073490888267045</v>
      </c>
      <c r="AW10" s="203">
        <v>0.8</v>
      </c>
      <c r="AX10" s="31">
        <v>1882.3</v>
      </c>
      <c r="AY10" s="36">
        <f aca="true" t="shared" si="12" ref="AY10:AY34">AX10*100/AN10</f>
        <v>98.82915047779062</v>
      </c>
      <c r="AZ10" s="36">
        <f aca="true" t="shared" si="13" ref="AZ10:AZ34">AX10*100/AU10</f>
        <v>50.22681182623546</v>
      </c>
      <c r="BA10" s="203">
        <v>0</v>
      </c>
      <c r="BB10" s="203">
        <v>1</v>
      </c>
      <c r="BC10" s="37">
        <v>2693</v>
      </c>
      <c r="BD10" s="31">
        <f>AT10*1000/BC10</f>
        <v>2742.8889714073525</v>
      </c>
      <c r="BE10" s="32">
        <f>BD10/BD46*100%</f>
        <v>0.7083451569665927</v>
      </c>
      <c r="BF10" s="203">
        <v>0.7</v>
      </c>
      <c r="BG10" s="35">
        <f>BD10*100/BD43</f>
        <v>70.83451569665927</v>
      </c>
      <c r="BH10" s="38">
        <f aca="true" t="shared" si="14" ref="BH10:BH34">BJ10*100/AN10</f>
        <v>78.78253596555707</v>
      </c>
      <c r="BI10" s="38">
        <f aca="true" t="shared" si="15" ref="BI10:BI34">BJ10*100/AT10</f>
        <v>20.313705629112174</v>
      </c>
      <c r="BJ10" s="31">
        <f>1500492.18/1000</f>
        <v>1500.49218</v>
      </c>
      <c r="BK10" s="36">
        <f aca="true" t="shared" si="16" ref="BK10:BK34">BJ10*1000/BC10</f>
        <v>557.1823913850724</v>
      </c>
      <c r="BL10" s="26">
        <f>BK10/BK46*100%</f>
        <v>0.8151803824410172</v>
      </c>
      <c r="BM10" s="203">
        <v>0</v>
      </c>
      <c r="BN10" s="39">
        <v>505.4</v>
      </c>
      <c r="BO10" s="40">
        <v>151.51</v>
      </c>
      <c r="BP10" s="26">
        <f aca="true" t="shared" si="17" ref="BP10:BP15">BO10/(BN10+BO10)</f>
        <v>0.23064042258452452</v>
      </c>
      <c r="BQ10" s="208">
        <v>1</v>
      </c>
      <c r="BR10" s="209">
        <v>1</v>
      </c>
      <c r="BS10" s="31">
        <v>0</v>
      </c>
      <c r="BT10" s="41">
        <f aca="true" t="shared" si="18" ref="BT10:BT34">BS10*100%/AT10</f>
        <v>0</v>
      </c>
      <c r="BU10" s="211">
        <f aca="true" t="shared" si="19" ref="BU10:BU34">BT10/50%</f>
        <v>0</v>
      </c>
      <c r="BV10" s="169">
        <v>0.43044425773909556</v>
      </c>
      <c r="BW10" s="214">
        <f aca="true" t="shared" si="20" ref="BW10:BW34">1-(BV10/100)</f>
        <v>0.9956955574226091</v>
      </c>
      <c r="BX10" s="219">
        <f>2+2+3</f>
        <v>7</v>
      </c>
      <c r="BY10" s="214">
        <f aca="true" t="shared" si="21" ref="BY10:BY33">(1-BX10/12)</f>
        <v>0.41666666666666663</v>
      </c>
      <c r="BZ10" s="220">
        <v>1</v>
      </c>
      <c r="CA10" s="33">
        <v>0</v>
      </c>
      <c r="CB10" s="220">
        <v>2</v>
      </c>
      <c r="CC10" s="221">
        <f aca="true" t="shared" si="22" ref="CC10:CC33">1-CB10/4</f>
        <v>0.5</v>
      </c>
      <c r="CD10" s="222">
        <v>2</v>
      </c>
      <c r="CE10" s="223">
        <v>0</v>
      </c>
      <c r="CF10" s="39">
        <v>1</v>
      </c>
      <c r="CG10" s="221">
        <f aca="true" t="shared" si="23" ref="CG10:CG33">1-CF10/1</f>
        <v>0</v>
      </c>
      <c r="CH10" s="42"/>
      <c r="CI10" s="43"/>
      <c r="CJ10" s="31">
        <v>1</v>
      </c>
      <c r="CK10" s="221">
        <f aca="true" t="shared" si="24" ref="CK10:CK33">1-CJ10/1</f>
        <v>0</v>
      </c>
      <c r="CL10" s="240">
        <f aca="true" t="shared" si="25" ref="CL10:CL33">BX10+BZ10+CB10+CD10+CF10+CH10+CJ10</f>
        <v>14</v>
      </c>
      <c r="CM10" s="221">
        <f aca="true" t="shared" si="26" ref="CM10:CM33">1-CL10/20</f>
        <v>0.30000000000000004</v>
      </c>
      <c r="CN10" s="44"/>
      <c r="CO10" s="43">
        <f aca="true" t="shared" si="27" ref="CO10:CO33">1-CN10/6</f>
        <v>1</v>
      </c>
      <c r="CP10" s="36"/>
      <c r="CQ10" s="36">
        <f aca="true" t="shared" si="28" ref="CQ10:CQ33">1-CP10/11</f>
        <v>1</v>
      </c>
      <c r="CR10" s="220">
        <v>0</v>
      </c>
      <c r="CS10" s="209">
        <f aca="true" t="shared" si="29" ref="CS10:CS33">1-CR10/3</f>
        <v>1</v>
      </c>
      <c r="CT10" s="220">
        <v>0</v>
      </c>
      <c r="CU10" s="33">
        <f aca="true" t="shared" si="30" ref="CU10:CU33">1-CT10/2</f>
        <v>1</v>
      </c>
      <c r="CV10" s="238">
        <v>3</v>
      </c>
      <c r="CW10" s="239">
        <f aca="true" t="shared" si="31" ref="CW10:CW33">1-CV10/5</f>
        <v>0.4</v>
      </c>
      <c r="CX10" s="238">
        <f>4+3+1+1</f>
        <v>9</v>
      </c>
      <c r="CY10" s="239">
        <f aca="true" t="shared" si="32" ref="CY10:CY33">1-CX10/11</f>
        <v>0.18181818181818177</v>
      </c>
      <c r="CZ10" s="238">
        <v>3</v>
      </c>
      <c r="DA10" s="239">
        <f aca="true" t="shared" si="33" ref="DA10:DA33">1-CZ10/8</f>
        <v>0.625</v>
      </c>
      <c r="DB10" s="240">
        <f aca="true" t="shared" si="34" ref="DB10:DB33">CR10+CT10+CX10+CZ10+CV10</f>
        <v>15</v>
      </c>
      <c r="DC10" s="239">
        <f aca="true" t="shared" si="35" ref="DC10:DC33">1-DB10/27</f>
        <v>0.4444444444444444</v>
      </c>
      <c r="DD10" s="250">
        <v>0</v>
      </c>
      <c r="DE10" s="209">
        <v>1</v>
      </c>
      <c r="DF10" s="220">
        <v>7</v>
      </c>
      <c r="DG10" s="251">
        <f aca="true" t="shared" si="36" ref="DG10:DG33">1-DF10/14</f>
        <v>0.5</v>
      </c>
      <c r="DH10" s="39">
        <v>16</v>
      </c>
      <c r="DI10" s="209">
        <f aca="true" t="shared" si="37" ref="DI10:DI33">1-DH10/45</f>
        <v>0.6444444444444444</v>
      </c>
      <c r="DJ10" s="31">
        <v>1</v>
      </c>
      <c r="DK10" s="209">
        <v>0</v>
      </c>
      <c r="DL10" s="220">
        <v>1</v>
      </c>
      <c r="DM10" s="259">
        <v>0.8</v>
      </c>
      <c r="DN10" s="220">
        <f aca="true" t="shared" si="38" ref="DN10:DN33">DD10+DF10+DH10+DJ10+DL10</f>
        <v>25</v>
      </c>
      <c r="DO10" s="259">
        <f aca="true" t="shared" si="39" ref="DO10:DO33">1-DN10/62</f>
        <v>0.5967741935483871</v>
      </c>
      <c r="DP10" s="171">
        <v>661</v>
      </c>
      <c r="DQ10" s="165">
        <f>1-DP10/(1650)*100/100</f>
        <v>0.5993939393939394</v>
      </c>
      <c r="DR10" s="66">
        <v>1</v>
      </c>
      <c r="DS10" s="28">
        <f aca="true" t="shared" si="40" ref="DS10:DS33">1-DR10/4</f>
        <v>0.75</v>
      </c>
      <c r="DT10" s="45">
        <v>1</v>
      </c>
      <c r="DU10" s="28">
        <v>1</v>
      </c>
      <c r="DV10" s="46"/>
      <c r="DW10" s="313">
        <v>1</v>
      </c>
      <c r="DX10" s="278">
        <v>1</v>
      </c>
      <c r="DY10" s="46"/>
      <c r="DZ10" s="45">
        <v>1</v>
      </c>
      <c r="EA10" s="28">
        <v>1</v>
      </c>
      <c r="EB10" s="47"/>
      <c r="EC10" s="45">
        <v>1</v>
      </c>
      <c r="ED10" s="69">
        <v>1</v>
      </c>
      <c r="EE10" s="49"/>
      <c r="EF10" s="49">
        <v>1</v>
      </c>
      <c r="EG10" s="69">
        <v>1</v>
      </c>
      <c r="EH10" s="49"/>
      <c r="EI10" s="49">
        <v>1</v>
      </c>
      <c r="EJ10" s="172">
        <v>1</v>
      </c>
      <c r="EK10" s="46"/>
      <c r="EL10" s="45"/>
      <c r="EM10" s="28"/>
      <c r="EN10" s="173"/>
      <c r="EO10" s="174"/>
      <c r="EP10" s="50">
        <f aca="true" t="shared" si="41" ref="EP10:EP33">D10+F10+J10+N10+R10+V10+Z10+AD10+AI10+AM10+AQ10+AW10+BA10+BB10+BF10+BM10+BR10+BU10+BW10+CM10+DC10+DO10+DQ10+DS10+DU10+DX10+EA10+ED10+EG10+EJ10</f>
        <v>20.3009034855816</v>
      </c>
      <c r="EQ10" s="24">
        <v>17</v>
      </c>
      <c r="ER10" s="77" t="s">
        <v>116</v>
      </c>
      <c r="ES10" s="53"/>
    </row>
    <row r="11" spans="1:149" s="54" customFormat="1" ht="18.75">
      <c r="A11" s="55">
        <f t="shared" si="0"/>
        <v>2</v>
      </c>
      <c r="B11" s="324" t="s">
        <v>118</v>
      </c>
      <c r="C11" s="57">
        <v>0</v>
      </c>
      <c r="D11" s="158">
        <v>1</v>
      </c>
      <c r="E11" s="57">
        <v>0</v>
      </c>
      <c r="F11" s="158">
        <v>1</v>
      </c>
      <c r="G11" s="189">
        <v>2804.4</v>
      </c>
      <c r="H11" s="185">
        <v>4710.75636</v>
      </c>
      <c r="I11" s="58">
        <f t="shared" si="1"/>
        <v>-0.6797733418913137</v>
      </c>
      <c r="J11" s="151">
        <v>0</v>
      </c>
      <c r="K11" s="189">
        <v>4710.75636</v>
      </c>
      <c r="L11" s="185">
        <v>12891.62184</v>
      </c>
      <c r="M11" s="58">
        <f t="shared" si="2"/>
        <v>0.36541223582773047</v>
      </c>
      <c r="N11" s="59">
        <v>0.5</v>
      </c>
      <c r="O11" s="189">
        <v>4710.75636</v>
      </c>
      <c r="P11" s="185">
        <v>4680.91801</v>
      </c>
      <c r="Q11" s="58">
        <f t="shared" si="3"/>
        <v>1.0063744654224354</v>
      </c>
      <c r="R11" s="28">
        <v>1</v>
      </c>
      <c r="S11" s="189">
        <v>4710.75636</v>
      </c>
      <c r="T11" s="185">
        <v>3678.13662</v>
      </c>
      <c r="U11" s="61">
        <f t="shared" si="4"/>
        <v>1.2807453465390852</v>
      </c>
      <c r="V11" s="155">
        <v>1</v>
      </c>
      <c r="W11" s="189">
        <v>709.0411</v>
      </c>
      <c r="X11" s="185">
        <v>2008.0181</v>
      </c>
      <c r="Y11" s="61">
        <f t="shared" si="5"/>
        <v>2.832019328639764</v>
      </c>
      <c r="Z11" s="155">
        <v>0</v>
      </c>
      <c r="AA11" s="189">
        <v>2008.0181</v>
      </c>
      <c r="AB11" s="185">
        <v>4071.22714</v>
      </c>
      <c r="AC11" s="61">
        <f t="shared" si="6"/>
        <v>0.4932218299173551</v>
      </c>
      <c r="AD11" s="181">
        <f t="shared" si="7"/>
        <v>0.5067781700826449</v>
      </c>
      <c r="AE11" s="184">
        <v>8180.86548</v>
      </c>
      <c r="AF11" s="185">
        <v>12891.62184</v>
      </c>
      <c r="AG11" s="185">
        <v>193.89</v>
      </c>
      <c r="AH11" s="58">
        <f t="shared" si="8"/>
        <v>0.6442777011740705</v>
      </c>
      <c r="AI11" s="60">
        <v>0.5</v>
      </c>
      <c r="AJ11" s="195">
        <v>1768.7</v>
      </c>
      <c r="AK11" s="196">
        <v>1108.7</v>
      </c>
      <c r="AL11" s="196">
        <f t="shared" si="9"/>
        <v>660</v>
      </c>
      <c r="AM11" s="147">
        <v>0</v>
      </c>
      <c r="AN11" s="62">
        <v>2776.4</v>
      </c>
      <c r="AO11" s="62">
        <v>2992</v>
      </c>
      <c r="AP11" s="63">
        <f t="shared" si="10"/>
        <v>0.9279411764705883</v>
      </c>
      <c r="AQ11" s="64">
        <v>1</v>
      </c>
      <c r="AR11" s="65">
        <f>AT11*100/AT12</f>
        <v>57.40399789584429</v>
      </c>
      <c r="AS11" s="144">
        <v>13531.46</v>
      </c>
      <c r="AT11" s="62">
        <v>13531.5</v>
      </c>
      <c r="AU11" s="62">
        <v>6670.8</v>
      </c>
      <c r="AV11" s="26">
        <f t="shared" si="11"/>
        <v>0.49298449686877843</v>
      </c>
      <c r="AW11" s="203">
        <v>1</v>
      </c>
      <c r="AX11" s="62">
        <v>2749.37</v>
      </c>
      <c r="AY11" s="66">
        <f t="shared" si="12"/>
        <v>99.02643711280795</v>
      </c>
      <c r="AZ11" s="66">
        <f t="shared" si="13"/>
        <v>41.21499670204473</v>
      </c>
      <c r="BA11" s="203">
        <v>0</v>
      </c>
      <c r="BB11" s="203">
        <v>1</v>
      </c>
      <c r="BC11" s="67">
        <v>3601</v>
      </c>
      <c r="BD11" s="31">
        <f>AT11*1000/BC11</f>
        <v>3757.7061927242435</v>
      </c>
      <c r="BE11" s="63">
        <f>BD11/BD12*100%</f>
        <v>0.7493923746413886</v>
      </c>
      <c r="BF11" s="203">
        <v>1</v>
      </c>
      <c r="BG11" s="68">
        <f>BD11*100/BD12</f>
        <v>74.93923746413887</v>
      </c>
      <c r="BH11" s="69">
        <f t="shared" si="14"/>
        <v>146.4748865437257</v>
      </c>
      <c r="BI11" s="69">
        <f t="shared" si="15"/>
        <v>30.05379115397406</v>
      </c>
      <c r="BJ11" s="62">
        <f>4066728.75/1000</f>
        <v>4066.72875</v>
      </c>
      <c r="BK11" s="66">
        <f t="shared" si="16"/>
        <v>1129.333171341294</v>
      </c>
      <c r="BL11" s="58">
        <f>BK11/BK12*100%</f>
        <v>1.4655776086912622</v>
      </c>
      <c r="BM11" s="205">
        <v>0</v>
      </c>
      <c r="BN11" s="70">
        <v>1105.6</v>
      </c>
      <c r="BO11" s="71">
        <v>223</v>
      </c>
      <c r="BP11" s="58">
        <f t="shared" si="17"/>
        <v>0.16784585277735964</v>
      </c>
      <c r="BQ11" s="208">
        <v>1</v>
      </c>
      <c r="BR11" s="209">
        <v>1</v>
      </c>
      <c r="BS11" s="62">
        <v>0</v>
      </c>
      <c r="BT11" s="72">
        <f t="shared" si="18"/>
        <v>0</v>
      </c>
      <c r="BU11" s="211">
        <f t="shared" si="19"/>
        <v>0</v>
      </c>
      <c r="BV11" s="169">
        <v>0.4786655150784386</v>
      </c>
      <c r="BW11" s="214">
        <f t="shared" si="20"/>
        <v>0.9952133448492156</v>
      </c>
      <c r="BX11" s="219">
        <f>3+2+1</f>
        <v>6</v>
      </c>
      <c r="BY11" s="214">
        <f t="shared" si="21"/>
        <v>0.5</v>
      </c>
      <c r="BZ11" s="224">
        <v>0</v>
      </c>
      <c r="CA11" s="33">
        <v>1</v>
      </c>
      <c r="CB11" s="224">
        <v>1</v>
      </c>
      <c r="CC11" s="221">
        <f t="shared" si="22"/>
        <v>0.75</v>
      </c>
      <c r="CD11" s="225">
        <v>1</v>
      </c>
      <c r="CE11" s="223">
        <v>0.5</v>
      </c>
      <c r="CF11" s="70">
        <v>1</v>
      </c>
      <c r="CG11" s="221">
        <f t="shared" si="23"/>
        <v>0</v>
      </c>
      <c r="CH11" s="73"/>
      <c r="CI11" s="48"/>
      <c r="CJ11" s="31"/>
      <c r="CK11" s="221">
        <f t="shared" si="24"/>
        <v>1</v>
      </c>
      <c r="CL11" s="240">
        <f t="shared" si="25"/>
        <v>9</v>
      </c>
      <c r="CM11" s="221">
        <f t="shared" si="26"/>
        <v>0.55</v>
      </c>
      <c r="CN11" s="74"/>
      <c r="CO11" s="48">
        <f t="shared" si="27"/>
        <v>1</v>
      </c>
      <c r="CP11" s="66"/>
      <c r="CQ11" s="66">
        <f t="shared" si="28"/>
        <v>1</v>
      </c>
      <c r="CR11" s="224">
        <v>0</v>
      </c>
      <c r="CS11" s="209">
        <f t="shared" si="29"/>
        <v>1</v>
      </c>
      <c r="CT11" s="224">
        <v>1</v>
      </c>
      <c r="CU11" s="33">
        <f t="shared" si="30"/>
        <v>0.5</v>
      </c>
      <c r="CV11" s="219"/>
      <c r="CW11" s="239">
        <f t="shared" si="31"/>
        <v>1</v>
      </c>
      <c r="CX11" s="219">
        <f>4+3+1+1</f>
        <v>9</v>
      </c>
      <c r="CY11" s="239">
        <f t="shared" si="32"/>
        <v>0.18181818181818177</v>
      </c>
      <c r="CZ11" s="219">
        <v>1</v>
      </c>
      <c r="DA11" s="214">
        <f t="shared" si="33"/>
        <v>0.875</v>
      </c>
      <c r="DB11" s="240">
        <f t="shared" si="34"/>
        <v>11</v>
      </c>
      <c r="DC11" s="239">
        <f t="shared" si="35"/>
        <v>0.5925925925925926</v>
      </c>
      <c r="DD11" s="252">
        <v>0</v>
      </c>
      <c r="DE11" s="253">
        <v>1</v>
      </c>
      <c r="DF11" s="224">
        <v>4</v>
      </c>
      <c r="DG11" s="251">
        <f t="shared" si="36"/>
        <v>0.7142857142857143</v>
      </c>
      <c r="DH11" s="70">
        <v>31</v>
      </c>
      <c r="DI11" s="209">
        <f t="shared" si="37"/>
        <v>0.3111111111111111</v>
      </c>
      <c r="DJ11" s="62">
        <v>1</v>
      </c>
      <c r="DK11" s="253">
        <v>0</v>
      </c>
      <c r="DL11" s="224">
        <v>1</v>
      </c>
      <c r="DM11" s="260">
        <v>0.8</v>
      </c>
      <c r="DN11" s="220">
        <f t="shared" si="38"/>
        <v>37</v>
      </c>
      <c r="DO11" s="259">
        <f t="shared" si="39"/>
        <v>0.4032258064516129</v>
      </c>
      <c r="DP11" s="175">
        <v>137</v>
      </c>
      <c r="DQ11" s="166">
        <f>1-DP11/(1371)*100/100</f>
        <v>0.900072939460248</v>
      </c>
      <c r="DR11" s="66">
        <v>0</v>
      </c>
      <c r="DS11" s="28">
        <f t="shared" si="40"/>
        <v>1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25">
        <f t="shared" si="41"/>
        <v>20.94788285343631</v>
      </c>
      <c r="EQ11" s="326">
        <v>21</v>
      </c>
      <c r="ER11" s="327" t="s">
        <v>116</v>
      </c>
      <c r="ES11" s="77"/>
    </row>
    <row r="12" spans="1:149" s="54" customFormat="1" ht="18.75">
      <c r="A12" s="55">
        <f t="shared" si="0"/>
        <v>3</v>
      </c>
      <c r="B12" s="324" t="s">
        <v>120</v>
      </c>
      <c r="C12" s="57">
        <v>0</v>
      </c>
      <c r="D12" s="158">
        <v>1</v>
      </c>
      <c r="E12" s="57">
        <v>0</v>
      </c>
      <c r="F12" s="158">
        <v>1</v>
      </c>
      <c r="G12" s="189">
        <v>4544</v>
      </c>
      <c r="H12" s="185">
        <v>8996.86131</v>
      </c>
      <c r="I12" s="58">
        <f t="shared" si="1"/>
        <v>-0.9799430699823944</v>
      </c>
      <c r="J12" s="151">
        <v>0</v>
      </c>
      <c r="K12" s="189">
        <v>8996.86131</v>
      </c>
      <c r="L12" s="185">
        <v>24406.39571</v>
      </c>
      <c r="M12" s="58">
        <f t="shared" si="2"/>
        <v>0.36862719989063064</v>
      </c>
      <c r="N12" s="59">
        <v>0.5</v>
      </c>
      <c r="O12" s="189">
        <v>8996.86131</v>
      </c>
      <c r="P12" s="185">
        <v>8996.86131</v>
      </c>
      <c r="Q12" s="58">
        <f t="shared" si="3"/>
        <v>1</v>
      </c>
      <c r="R12" s="28">
        <v>1</v>
      </c>
      <c r="S12" s="189">
        <v>8996.86131</v>
      </c>
      <c r="T12" s="185">
        <v>6280.87107</v>
      </c>
      <c r="U12" s="61">
        <f t="shared" si="4"/>
        <v>1.432422542945146</v>
      </c>
      <c r="V12" s="155">
        <v>1</v>
      </c>
      <c r="W12" s="189">
        <v>2512.5522</v>
      </c>
      <c r="X12" s="185">
        <v>2219.3494</v>
      </c>
      <c r="Y12" s="61">
        <f t="shared" si="5"/>
        <v>0.883304792632766</v>
      </c>
      <c r="Z12" s="155">
        <v>0.1</v>
      </c>
      <c r="AA12" s="189">
        <v>2219.3494</v>
      </c>
      <c r="AB12" s="185">
        <v>7156.39471</v>
      </c>
      <c r="AC12" s="61">
        <f t="shared" si="6"/>
        <v>0.31012115596402035</v>
      </c>
      <c r="AD12" s="181">
        <f t="shared" si="7"/>
        <v>0.6898788440359797</v>
      </c>
      <c r="AE12" s="184">
        <v>15409.5344</v>
      </c>
      <c r="AF12" s="185">
        <v>24406.39571</v>
      </c>
      <c r="AG12" s="185">
        <v>245.64</v>
      </c>
      <c r="AH12" s="58">
        <f t="shared" si="8"/>
        <v>0.6377919045645613</v>
      </c>
      <c r="AI12" s="60">
        <v>0.5</v>
      </c>
      <c r="AJ12" s="195">
        <v>-260.2</v>
      </c>
      <c r="AK12" s="196">
        <v>-216.6</v>
      </c>
      <c r="AL12" s="196">
        <f t="shared" si="9"/>
        <v>-43.599999999999994</v>
      </c>
      <c r="AM12" s="147">
        <v>1</v>
      </c>
      <c r="AN12" s="62">
        <v>3088.2</v>
      </c>
      <c r="AO12" s="62">
        <v>3445.2</v>
      </c>
      <c r="AP12" s="63">
        <f t="shared" si="10"/>
        <v>0.8963775687913619</v>
      </c>
      <c r="AQ12" s="64">
        <v>1</v>
      </c>
      <c r="AR12" s="65">
        <f>AT12*100/AT24</f>
        <v>292.27297525169865</v>
      </c>
      <c r="AS12" s="144">
        <v>23572.44</v>
      </c>
      <c r="AT12" s="62">
        <v>23572.4</v>
      </c>
      <c r="AU12" s="62">
        <v>6348.7</v>
      </c>
      <c r="AV12" s="26">
        <f t="shared" si="11"/>
        <v>0.2693272312921361</v>
      </c>
      <c r="AW12" s="203">
        <v>1</v>
      </c>
      <c r="AX12" s="62">
        <v>3082.51</v>
      </c>
      <c r="AY12" s="66">
        <f t="shared" si="12"/>
        <v>99.81575027524124</v>
      </c>
      <c r="AZ12" s="66">
        <f t="shared" si="13"/>
        <v>48.553404634019564</v>
      </c>
      <c r="BA12" s="203">
        <v>0</v>
      </c>
      <c r="BB12" s="203">
        <v>1</v>
      </c>
      <c r="BC12" s="67">
        <v>4701</v>
      </c>
      <c r="BD12" s="31">
        <f>AT12*1000/BC12</f>
        <v>5014.33737502659</v>
      </c>
      <c r="BE12" s="63">
        <f>BD12/BD24*100%</f>
        <v>1.1439685328705564</v>
      </c>
      <c r="BF12" s="203">
        <v>1</v>
      </c>
      <c r="BG12" s="68">
        <f>BD12*100/BD24</f>
        <v>114.39685328705565</v>
      </c>
      <c r="BH12" s="69">
        <f t="shared" si="14"/>
        <v>117.30002266692573</v>
      </c>
      <c r="BI12" s="69">
        <f t="shared" si="15"/>
        <v>15.367375829359759</v>
      </c>
      <c r="BJ12" s="62">
        <f>3622459.3/1000</f>
        <v>3622.4593</v>
      </c>
      <c r="BK12" s="66">
        <f t="shared" si="16"/>
        <v>770.5720697723888</v>
      </c>
      <c r="BL12" s="58">
        <f>BK12/BK24*100%</f>
        <v>0.6616365527655244</v>
      </c>
      <c r="BM12" s="205">
        <v>1</v>
      </c>
      <c r="BN12" s="70">
        <v>884.6</v>
      </c>
      <c r="BO12" s="73">
        <v>358.02</v>
      </c>
      <c r="BP12" s="58">
        <f t="shared" si="17"/>
        <v>0.2881170430220019</v>
      </c>
      <c r="BQ12" s="208">
        <v>1</v>
      </c>
      <c r="BR12" s="209">
        <v>1</v>
      </c>
      <c r="BS12" s="62">
        <v>0</v>
      </c>
      <c r="BT12" s="72">
        <f t="shared" si="18"/>
        <v>0</v>
      </c>
      <c r="BU12" s="211">
        <f t="shared" si="19"/>
        <v>0</v>
      </c>
      <c r="BV12" s="169">
        <v>3.9168938933461397</v>
      </c>
      <c r="BW12" s="214">
        <f t="shared" si="20"/>
        <v>0.9608310610665386</v>
      </c>
      <c r="BX12" s="219">
        <f>3+2+2</f>
        <v>7</v>
      </c>
      <c r="BY12" s="214">
        <f t="shared" si="21"/>
        <v>0.41666666666666663</v>
      </c>
      <c r="BZ12" s="224">
        <v>0</v>
      </c>
      <c r="CA12" s="33">
        <v>1</v>
      </c>
      <c r="CB12" s="224">
        <v>0</v>
      </c>
      <c r="CC12" s="221">
        <f t="shared" si="22"/>
        <v>1</v>
      </c>
      <c r="CD12" s="225">
        <v>0</v>
      </c>
      <c r="CE12" s="223">
        <f>1-CD12/1</f>
        <v>1</v>
      </c>
      <c r="CF12" s="70"/>
      <c r="CG12" s="221">
        <f t="shared" si="23"/>
        <v>1</v>
      </c>
      <c r="CH12" s="73"/>
      <c r="CI12" s="48"/>
      <c r="CJ12" s="31"/>
      <c r="CK12" s="221">
        <f t="shared" si="24"/>
        <v>1</v>
      </c>
      <c r="CL12" s="240">
        <f t="shared" si="25"/>
        <v>7</v>
      </c>
      <c r="CM12" s="221">
        <f t="shared" si="26"/>
        <v>0.65</v>
      </c>
      <c r="CN12" s="74"/>
      <c r="CO12" s="48">
        <f t="shared" si="27"/>
        <v>1</v>
      </c>
      <c r="CP12" s="66"/>
      <c r="CQ12" s="66">
        <f t="shared" si="28"/>
        <v>1</v>
      </c>
      <c r="CR12" s="224">
        <v>0</v>
      </c>
      <c r="CS12" s="209">
        <f t="shared" si="29"/>
        <v>1</v>
      </c>
      <c r="CT12" s="224">
        <v>0</v>
      </c>
      <c r="CU12" s="33">
        <f t="shared" si="30"/>
        <v>1</v>
      </c>
      <c r="CV12" s="219"/>
      <c r="CW12" s="239">
        <f t="shared" si="31"/>
        <v>1</v>
      </c>
      <c r="CX12" s="219">
        <f>2+4+2+1</f>
        <v>9</v>
      </c>
      <c r="CY12" s="239">
        <f t="shared" si="32"/>
        <v>0.18181818181818177</v>
      </c>
      <c r="CZ12" s="219">
        <v>2</v>
      </c>
      <c r="DA12" s="214">
        <f t="shared" si="33"/>
        <v>0.75</v>
      </c>
      <c r="DB12" s="240">
        <f t="shared" si="34"/>
        <v>11</v>
      </c>
      <c r="DC12" s="239">
        <f t="shared" si="35"/>
        <v>0.5925925925925926</v>
      </c>
      <c r="DD12" s="252">
        <v>0</v>
      </c>
      <c r="DE12" s="253">
        <v>1</v>
      </c>
      <c r="DF12" s="224">
        <v>5</v>
      </c>
      <c r="DG12" s="251">
        <f t="shared" si="36"/>
        <v>0.6428571428571428</v>
      </c>
      <c r="DH12" s="70">
        <v>32</v>
      </c>
      <c r="DI12" s="209">
        <f t="shared" si="37"/>
        <v>0.28888888888888886</v>
      </c>
      <c r="DJ12" s="62">
        <v>1</v>
      </c>
      <c r="DK12" s="253">
        <v>0</v>
      </c>
      <c r="DL12" s="224">
        <v>2</v>
      </c>
      <c r="DM12" s="260">
        <v>0.66</v>
      </c>
      <c r="DN12" s="220">
        <f t="shared" si="38"/>
        <v>40</v>
      </c>
      <c r="DO12" s="259">
        <f t="shared" si="39"/>
        <v>0.3548387096774194</v>
      </c>
      <c r="DP12" s="175">
        <v>414</v>
      </c>
      <c r="DQ12" s="166">
        <f>1-DP12/(2071)*100/100</f>
        <v>0.8000965717044906</v>
      </c>
      <c r="DR12" s="66">
        <v>1</v>
      </c>
      <c r="DS12" s="28">
        <f t="shared" si="40"/>
        <v>0.75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25">
        <f t="shared" si="41"/>
        <v>22.89823777907702</v>
      </c>
      <c r="EQ12" s="326">
        <v>19</v>
      </c>
      <c r="ER12" s="327" t="s">
        <v>116</v>
      </c>
      <c r="ES12" s="77"/>
    </row>
    <row r="13" spans="1:149" s="54" customFormat="1" ht="18.75">
      <c r="A13" s="55">
        <f t="shared" si="0"/>
        <v>4</v>
      </c>
      <c r="B13" s="56" t="s">
        <v>121</v>
      </c>
      <c r="C13" s="57">
        <v>0</v>
      </c>
      <c r="D13" s="158">
        <v>1</v>
      </c>
      <c r="E13" s="57">
        <v>0</v>
      </c>
      <c r="F13" s="158">
        <v>1</v>
      </c>
      <c r="G13" s="189">
        <v>23084.4</v>
      </c>
      <c r="H13" s="185">
        <v>38950.90831</v>
      </c>
      <c r="I13" s="58">
        <f t="shared" si="1"/>
        <v>-0.6873259998093949</v>
      </c>
      <c r="J13" s="151">
        <v>0</v>
      </c>
      <c r="K13" s="189">
        <v>38950.90831</v>
      </c>
      <c r="L13" s="185">
        <v>43765.26823</v>
      </c>
      <c r="M13" s="58">
        <f t="shared" si="2"/>
        <v>0.8899958776740713</v>
      </c>
      <c r="N13" s="159">
        <v>1</v>
      </c>
      <c r="O13" s="189">
        <v>38950.90831</v>
      </c>
      <c r="P13" s="185">
        <v>37039.84736</v>
      </c>
      <c r="Q13" s="58">
        <f t="shared" si="3"/>
        <v>1.051594730707875</v>
      </c>
      <c r="R13" s="28">
        <v>1</v>
      </c>
      <c r="S13" s="189">
        <v>38950.90831</v>
      </c>
      <c r="T13" s="185">
        <v>20492.12117</v>
      </c>
      <c r="U13" s="61">
        <f t="shared" si="4"/>
        <v>1.9007748386254542</v>
      </c>
      <c r="V13" s="155">
        <v>1</v>
      </c>
      <c r="W13" s="189">
        <v>8362.2266</v>
      </c>
      <c r="X13" s="185">
        <v>21555.6416</v>
      </c>
      <c r="Y13" s="61">
        <f t="shared" si="5"/>
        <v>2.5777394743165654</v>
      </c>
      <c r="Z13" s="155">
        <v>0</v>
      </c>
      <c r="AA13" s="189">
        <v>21555.6416</v>
      </c>
      <c r="AB13" s="185">
        <v>37065.07126</v>
      </c>
      <c r="AC13" s="61">
        <f t="shared" si="6"/>
        <v>0.5815621248585723</v>
      </c>
      <c r="AD13" s="181">
        <f t="shared" si="7"/>
        <v>0.4184378751414277</v>
      </c>
      <c r="AE13" s="184">
        <v>4814.35992</v>
      </c>
      <c r="AF13" s="185">
        <v>43765.26823</v>
      </c>
      <c r="AG13" s="185">
        <v>377.43</v>
      </c>
      <c r="AH13" s="58">
        <f t="shared" si="8"/>
        <v>0.11096104614567241</v>
      </c>
      <c r="AI13" s="158">
        <v>1</v>
      </c>
      <c r="AJ13" s="195">
        <v>478.9</v>
      </c>
      <c r="AK13" s="196">
        <v>7007.1</v>
      </c>
      <c r="AL13" s="196">
        <f t="shared" si="9"/>
        <v>-6528.200000000001</v>
      </c>
      <c r="AM13" s="147">
        <v>1</v>
      </c>
      <c r="AN13" s="62">
        <v>3330.9</v>
      </c>
      <c r="AO13" s="62">
        <v>3948.8</v>
      </c>
      <c r="AP13" s="63">
        <f t="shared" si="10"/>
        <v>0.8435220826580226</v>
      </c>
      <c r="AQ13" s="64">
        <v>1</v>
      </c>
      <c r="AR13" s="65">
        <f>AT13*100/AT39</f>
        <v>11.011137535934173</v>
      </c>
      <c r="AS13" s="144">
        <v>42137.25</v>
      </c>
      <c r="AT13" s="62">
        <v>42137.3</v>
      </c>
      <c r="AU13" s="62">
        <v>11168.7</v>
      </c>
      <c r="AV13" s="26">
        <f t="shared" si="11"/>
        <v>0.2650552658277415</v>
      </c>
      <c r="AW13" s="203">
        <v>1</v>
      </c>
      <c r="AX13" s="62">
        <v>3227.41</v>
      </c>
      <c r="AY13" s="66">
        <f t="shared" si="12"/>
        <v>96.89303191329671</v>
      </c>
      <c r="AZ13" s="66">
        <f t="shared" si="13"/>
        <v>28.896917277749424</v>
      </c>
      <c r="BA13" s="203">
        <v>0</v>
      </c>
      <c r="BB13" s="203">
        <v>1</v>
      </c>
      <c r="BC13" s="67">
        <v>7824</v>
      </c>
      <c r="BD13" s="31">
        <f aca="true" t="shared" si="42" ref="BD13:BD33">AS13*1000/BC13</f>
        <v>5385.640337423313</v>
      </c>
      <c r="BE13" s="63">
        <f>BD13/BD39*100%</f>
        <v>1.3908299934650077</v>
      </c>
      <c r="BF13" s="203">
        <v>1</v>
      </c>
      <c r="BG13" s="68">
        <f>BD13*100/BD39</f>
        <v>139.08299934650077</v>
      </c>
      <c r="BH13" s="69">
        <f t="shared" si="14"/>
        <v>222.3380236572698</v>
      </c>
      <c r="BI13" s="69">
        <f t="shared" si="15"/>
        <v>17.57553813367254</v>
      </c>
      <c r="BJ13" s="62">
        <f>7405857.23/1000</f>
        <v>7405.8572300000005</v>
      </c>
      <c r="BK13" s="66">
        <f t="shared" si="16"/>
        <v>946.5563944274029</v>
      </c>
      <c r="BL13" s="58">
        <f>BK13/BK39*100%</f>
        <v>1.384850303135393</v>
      </c>
      <c r="BM13" s="205">
        <v>1</v>
      </c>
      <c r="BN13" s="70">
        <v>1668.6</v>
      </c>
      <c r="BO13" s="71">
        <v>1072.61</v>
      </c>
      <c r="BP13" s="58">
        <f t="shared" si="17"/>
        <v>0.39129070738834304</v>
      </c>
      <c r="BQ13" s="208">
        <v>1</v>
      </c>
      <c r="BR13" s="209">
        <v>1</v>
      </c>
      <c r="BS13" s="62">
        <f>19907819.13/1000</f>
        <v>19907.81913</v>
      </c>
      <c r="BT13" s="72">
        <f t="shared" si="18"/>
        <v>0.4724512280093883</v>
      </c>
      <c r="BU13" s="211">
        <f t="shared" si="19"/>
        <v>0.9449024560187766</v>
      </c>
      <c r="BV13" s="169">
        <v>0.6248778528749858</v>
      </c>
      <c r="BW13" s="214">
        <f t="shared" si="20"/>
        <v>0.9937512214712502</v>
      </c>
      <c r="BX13" s="219">
        <v>10</v>
      </c>
      <c r="BY13" s="214">
        <f t="shared" si="21"/>
        <v>0.16666666666666663</v>
      </c>
      <c r="BZ13" s="224">
        <v>2</v>
      </c>
      <c r="CA13" s="33">
        <v>0</v>
      </c>
      <c r="CB13" s="224">
        <v>4</v>
      </c>
      <c r="CC13" s="221">
        <f t="shared" si="22"/>
        <v>0</v>
      </c>
      <c r="CD13" s="225">
        <v>2</v>
      </c>
      <c r="CE13" s="223">
        <v>0</v>
      </c>
      <c r="CF13" s="70">
        <v>1</v>
      </c>
      <c r="CG13" s="221">
        <f t="shared" si="23"/>
        <v>0</v>
      </c>
      <c r="CH13" s="73"/>
      <c r="CI13" s="48"/>
      <c r="CJ13" s="31">
        <v>1</v>
      </c>
      <c r="CK13" s="221">
        <f t="shared" si="24"/>
        <v>0</v>
      </c>
      <c r="CL13" s="240">
        <f t="shared" si="25"/>
        <v>20</v>
      </c>
      <c r="CM13" s="221">
        <f t="shared" si="26"/>
        <v>0</v>
      </c>
      <c r="CN13" s="74"/>
      <c r="CO13" s="48">
        <f t="shared" si="27"/>
        <v>1</v>
      </c>
      <c r="CP13" s="66"/>
      <c r="CQ13" s="66">
        <f t="shared" si="28"/>
        <v>1</v>
      </c>
      <c r="CR13" s="224">
        <v>2</v>
      </c>
      <c r="CS13" s="209">
        <f t="shared" si="29"/>
        <v>0.33333333333333337</v>
      </c>
      <c r="CT13" s="224">
        <v>2</v>
      </c>
      <c r="CU13" s="33">
        <f t="shared" si="30"/>
        <v>0</v>
      </c>
      <c r="CV13" s="219">
        <v>5</v>
      </c>
      <c r="CW13" s="239">
        <f t="shared" si="31"/>
        <v>0</v>
      </c>
      <c r="CX13" s="219">
        <f>2+3+2+2</f>
        <v>9</v>
      </c>
      <c r="CY13" s="239">
        <f t="shared" si="32"/>
        <v>0.18181818181818177</v>
      </c>
      <c r="CZ13" s="219">
        <v>2</v>
      </c>
      <c r="DA13" s="214">
        <f t="shared" si="33"/>
        <v>0.75</v>
      </c>
      <c r="DB13" s="240">
        <f t="shared" si="34"/>
        <v>20</v>
      </c>
      <c r="DC13" s="239">
        <f t="shared" si="35"/>
        <v>0.2592592592592593</v>
      </c>
      <c r="DD13" s="252">
        <v>0</v>
      </c>
      <c r="DE13" s="253">
        <v>1</v>
      </c>
      <c r="DF13" s="224">
        <v>5</v>
      </c>
      <c r="DG13" s="251">
        <f t="shared" si="36"/>
        <v>0.6428571428571428</v>
      </c>
      <c r="DH13" s="70">
        <v>21</v>
      </c>
      <c r="DI13" s="209">
        <f t="shared" si="37"/>
        <v>0.5333333333333333</v>
      </c>
      <c r="DJ13" s="62">
        <v>1</v>
      </c>
      <c r="DK13" s="253">
        <v>0</v>
      </c>
      <c r="DL13" s="224">
        <v>3</v>
      </c>
      <c r="DM13" s="260">
        <v>0.5</v>
      </c>
      <c r="DN13" s="220">
        <f t="shared" si="38"/>
        <v>30</v>
      </c>
      <c r="DO13" s="259">
        <f t="shared" si="39"/>
        <v>0.5161290322580645</v>
      </c>
      <c r="DP13" s="175">
        <v>415</v>
      </c>
      <c r="DQ13" s="166">
        <f>1-DP13/(2079)*100/100</f>
        <v>0.8003848003848004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50">
        <f t="shared" si="41"/>
        <v>23.68286464453358</v>
      </c>
      <c r="EQ13" s="24">
        <v>2</v>
      </c>
      <c r="ER13" s="52" t="s">
        <v>119</v>
      </c>
      <c r="ES13" s="77"/>
    </row>
    <row r="14" spans="1:149" s="54" customFormat="1" ht="18.75">
      <c r="A14" s="55">
        <f t="shared" si="0"/>
        <v>5</v>
      </c>
      <c r="B14" s="56" t="s">
        <v>122</v>
      </c>
      <c r="C14" s="57">
        <v>0</v>
      </c>
      <c r="D14" s="158">
        <v>1</v>
      </c>
      <c r="E14" s="57">
        <v>0</v>
      </c>
      <c r="F14" s="158">
        <v>1</v>
      </c>
      <c r="G14" s="189">
        <v>5353.2755</v>
      </c>
      <c r="H14" s="185">
        <v>9916.48897</v>
      </c>
      <c r="I14" s="58">
        <f t="shared" si="1"/>
        <v>-0.8524152119576137</v>
      </c>
      <c r="J14" s="151">
        <v>0</v>
      </c>
      <c r="K14" s="189">
        <v>9916.48897</v>
      </c>
      <c r="L14" s="185">
        <v>12675.87847</v>
      </c>
      <c r="M14" s="58">
        <f t="shared" si="2"/>
        <v>0.7823117737732619</v>
      </c>
      <c r="N14" s="159">
        <v>1</v>
      </c>
      <c r="O14" s="189">
        <v>9916.48897</v>
      </c>
      <c r="P14" s="185">
        <v>7609.06351</v>
      </c>
      <c r="Q14" s="58">
        <f t="shared" si="3"/>
        <v>1.303246970795753</v>
      </c>
      <c r="R14" s="28">
        <v>1</v>
      </c>
      <c r="S14" s="189">
        <v>9916.48897</v>
      </c>
      <c r="T14" s="185">
        <v>29527.71182</v>
      </c>
      <c r="U14" s="61">
        <f t="shared" si="4"/>
        <v>0.3358366889534348</v>
      </c>
      <c r="V14" s="155">
        <v>0</v>
      </c>
      <c r="W14" s="189">
        <v>438.7837</v>
      </c>
      <c r="X14" s="185">
        <v>518.0379</v>
      </c>
      <c r="Y14" s="61">
        <f t="shared" si="5"/>
        <v>1.1806224798232023</v>
      </c>
      <c r="Z14" s="155">
        <v>0</v>
      </c>
      <c r="AA14" s="189">
        <v>518.0379</v>
      </c>
      <c r="AB14" s="185">
        <v>9545.96734</v>
      </c>
      <c r="AC14" s="61">
        <f t="shared" si="6"/>
        <v>0.05426772180848464</v>
      </c>
      <c r="AD14" s="181">
        <f t="shared" si="7"/>
        <v>0.9457322781915154</v>
      </c>
      <c r="AE14" s="184">
        <v>2759.3895</v>
      </c>
      <c r="AF14" s="185">
        <v>12675.87847</v>
      </c>
      <c r="AG14" s="185">
        <v>204.01</v>
      </c>
      <c r="AH14" s="58">
        <f t="shared" si="8"/>
        <v>0.22124908602407675</v>
      </c>
      <c r="AI14" s="158">
        <v>1</v>
      </c>
      <c r="AJ14" s="195">
        <v>12872.2</v>
      </c>
      <c r="AK14" s="196">
        <v>-18782.6</v>
      </c>
      <c r="AL14" s="196">
        <f t="shared" si="9"/>
        <v>31654.8</v>
      </c>
      <c r="AM14" s="147">
        <v>0</v>
      </c>
      <c r="AN14" s="62">
        <v>2706.6</v>
      </c>
      <c r="AO14" s="62">
        <v>2914.1</v>
      </c>
      <c r="AP14" s="63">
        <f t="shared" si="10"/>
        <v>0.928794482001304</v>
      </c>
      <c r="AQ14" s="64">
        <v>1</v>
      </c>
      <c r="AR14" s="65">
        <f>AT14*100/AT44</f>
        <v>6.020086291666459</v>
      </c>
      <c r="AS14" s="144">
        <v>23037.58</v>
      </c>
      <c r="AT14" s="62">
        <v>23037.6</v>
      </c>
      <c r="AU14" s="62">
        <v>6303.2</v>
      </c>
      <c r="AV14" s="26">
        <f t="shared" si="11"/>
        <v>0.27360512692739425</v>
      </c>
      <c r="AW14" s="203">
        <v>1</v>
      </c>
      <c r="AX14" s="62">
        <v>2652.35</v>
      </c>
      <c r="AY14" s="66">
        <f t="shared" si="12"/>
        <v>97.99564028670657</v>
      </c>
      <c r="AZ14" s="66">
        <f t="shared" si="13"/>
        <v>42.079419977154465</v>
      </c>
      <c r="BA14" s="203">
        <v>0</v>
      </c>
      <c r="BB14" s="203">
        <v>1</v>
      </c>
      <c r="BC14" s="67">
        <v>3721</v>
      </c>
      <c r="BD14" s="31">
        <f t="shared" si="42"/>
        <v>6191.233539371136</v>
      </c>
      <c r="BE14" s="63">
        <f>BD14/BD44*100%</f>
        <v>1.598872699179108</v>
      </c>
      <c r="BF14" s="203">
        <v>1</v>
      </c>
      <c r="BG14" s="68">
        <f>BD14*100/BD44</f>
        <v>159.8872699179108</v>
      </c>
      <c r="BH14" s="69">
        <f t="shared" si="14"/>
        <v>157.91215288553906</v>
      </c>
      <c r="BI14" s="69">
        <f t="shared" si="15"/>
        <v>18.552498220300727</v>
      </c>
      <c r="BJ14" s="62">
        <f>4274050.33/1000</f>
        <v>4274.05033</v>
      </c>
      <c r="BK14" s="66">
        <f t="shared" si="16"/>
        <v>1148.629489384574</v>
      </c>
      <c r="BL14" s="58">
        <f>BK14/BK44*100%</f>
        <v>1.6804914170240468</v>
      </c>
      <c r="BM14" s="205">
        <v>1</v>
      </c>
      <c r="BN14" s="70">
        <v>835.4</v>
      </c>
      <c r="BO14" s="71">
        <v>177.09</v>
      </c>
      <c r="BP14" s="58">
        <f t="shared" si="17"/>
        <v>0.17490543116475224</v>
      </c>
      <c r="BQ14" s="208">
        <v>1</v>
      </c>
      <c r="BR14" s="209">
        <v>1</v>
      </c>
      <c r="BS14" s="62">
        <f>137220/1000</f>
        <v>137.22</v>
      </c>
      <c r="BT14" s="72">
        <f t="shared" si="18"/>
        <v>0.0059563496197520575</v>
      </c>
      <c r="BU14" s="211">
        <f t="shared" si="19"/>
        <v>0.011912699239504115</v>
      </c>
      <c r="BV14" s="169">
        <v>0</v>
      </c>
      <c r="BW14" s="214">
        <f t="shared" si="20"/>
        <v>1</v>
      </c>
      <c r="BX14" s="219">
        <f>3+2+2</f>
        <v>7</v>
      </c>
      <c r="BY14" s="214">
        <f t="shared" si="21"/>
        <v>0.41666666666666663</v>
      </c>
      <c r="BZ14" s="224">
        <v>1</v>
      </c>
      <c r="CA14" s="33">
        <v>0</v>
      </c>
      <c r="CB14" s="224">
        <v>1</v>
      </c>
      <c r="CC14" s="221">
        <f t="shared" si="22"/>
        <v>0.75</v>
      </c>
      <c r="CD14" s="225">
        <v>0</v>
      </c>
      <c r="CE14" s="223">
        <f>1-CD14/1</f>
        <v>1</v>
      </c>
      <c r="CF14" s="70">
        <v>1</v>
      </c>
      <c r="CG14" s="221">
        <f t="shared" si="23"/>
        <v>0</v>
      </c>
      <c r="CH14" s="73"/>
      <c r="CI14" s="48"/>
      <c r="CJ14" s="31"/>
      <c r="CK14" s="221">
        <f t="shared" si="24"/>
        <v>1</v>
      </c>
      <c r="CL14" s="240">
        <f t="shared" si="25"/>
        <v>10</v>
      </c>
      <c r="CM14" s="221">
        <f t="shared" si="26"/>
        <v>0.5</v>
      </c>
      <c r="CN14" s="74"/>
      <c r="CO14" s="48">
        <f t="shared" si="27"/>
        <v>1</v>
      </c>
      <c r="CP14" s="66"/>
      <c r="CQ14" s="66">
        <f t="shared" si="28"/>
        <v>1</v>
      </c>
      <c r="CR14" s="224">
        <v>0</v>
      </c>
      <c r="CS14" s="209">
        <f t="shared" si="29"/>
        <v>1</v>
      </c>
      <c r="CT14" s="224">
        <v>0</v>
      </c>
      <c r="CU14" s="33">
        <f t="shared" si="30"/>
        <v>1</v>
      </c>
      <c r="CV14" s="219">
        <v>3</v>
      </c>
      <c r="CW14" s="239">
        <f t="shared" si="31"/>
        <v>0.4</v>
      </c>
      <c r="CX14" s="219">
        <f>3+3+2+2</f>
        <v>10</v>
      </c>
      <c r="CY14" s="239">
        <f t="shared" si="32"/>
        <v>0.09090909090909094</v>
      </c>
      <c r="CZ14" s="219">
        <v>4</v>
      </c>
      <c r="DA14" s="214">
        <f t="shared" si="33"/>
        <v>0.5</v>
      </c>
      <c r="DB14" s="240">
        <f t="shared" si="34"/>
        <v>17</v>
      </c>
      <c r="DC14" s="239">
        <f t="shared" si="35"/>
        <v>0.37037037037037035</v>
      </c>
      <c r="DD14" s="252">
        <v>1</v>
      </c>
      <c r="DE14" s="253">
        <v>0.5</v>
      </c>
      <c r="DF14" s="224">
        <v>14</v>
      </c>
      <c r="DG14" s="251">
        <f t="shared" si="36"/>
        <v>0</v>
      </c>
      <c r="DH14" s="70">
        <v>45</v>
      </c>
      <c r="DI14" s="209">
        <f t="shared" si="37"/>
        <v>0</v>
      </c>
      <c r="DJ14" s="62">
        <v>1</v>
      </c>
      <c r="DK14" s="253">
        <v>0</v>
      </c>
      <c r="DL14" s="224">
        <v>1</v>
      </c>
      <c r="DM14" s="260">
        <v>0.8</v>
      </c>
      <c r="DN14" s="220">
        <f t="shared" si="38"/>
        <v>62</v>
      </c>
      <c r="DO14" s="259">
        <f t="shared" si="39"/>
        <v>0</v>
      </c>
      <c r="DP14" s="175">
        <v>197</v>
      </c>
      <c r="DQ14" s="166">
        <f>1-DP14/(1969)*100/100</f>
        <v>0.8999492127983748</v>
      </c>
      <c r="DR14" s="66">
        <v>4</v>
      </c>
      <c r="DS14" s="28">
        <f t="shared" si="40"/>
        <v>0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50">
        <f t="shared" si="41"/>
        <v>20.727964560599766</v>
      </c>
      <c r="EQ14" s="24">
        <v>16</v>
      </c>
      <c r="ER14" s="53" t="s">
        <v>117</v>
      </c>
      <c r="ES14" s="77"/>
    </row>
    <row r="15" spans="1:149" s="54" customFormat="1" ht="18.75">
      <c r="A15" s="55">
        <f t="shared" si="0"/>
        <v>6</v>
      </c>
      <c r="B15" s="56" t="s">
        <v>123</v>
      </c>
      <c r="C15" s="57">
        <v>0</v>
      </c>
      <c r="D15" s="158">
        <v>1</v>
      </c>
      <c r="E15" s="57">
        <v>0</v>
      </c>
      <c r="F15" s="158">
        <v>1</v>
      </c>
      <c r="G15" s="189">
        <v>2854.7</v>
      </c>
      <c r="H15" s="185">
        <v>2762.71304</v>
      </c>
      <c r="I15" s="58">
        <f t="shared" si="1"/>
        <v>0.03222298665358873</v>
      </c>
      <c r="J15" s="151">
        <v>0.8</v>
      </c>
      <c r="K15" s="189">
        <v>2762.71304</v>
      </c>
      <c r="L15" s="185">
        <v>8239.48611</v>
      </c>
      <c r="M15" s="58">
        <f t="shared" si="2"/>
        <v>0.3353016199210511</v>
      </c>
      <c r="N15" s="59">
        <v>0.5</v>
      </c>
      <c r="O15" s="189">
        <v>2762.71304</v>
      </c>
      <c r="P15" s="185">
        <v>2762.71304</v>
      </c>
      <c r="Q15" s="58">
        <f t="shared" si="3"/>
        <v>1</v>
      </c>
      <c r="R15" s="28">
        <v>1</v>
      </c>
      <c r="S15" s="189">
        <v>2762.71304</v>
      </c>
      <c r="T15" s="185">
        <v>2001.14011</v>
      </c>
      <c r="U15" s="61">
        <f t="shared" si="4"/>
        <v>1.3805695194425942</v>
      </c>
      <c r="V15" s="155">
        <v>1</v>
      </c>
      <c r="W15" s="189">
        <v>832.616</v>
      </c>
      <c r="X15" s="185">
        <v>910.002</v>
      </c>
      <c r="Y15" s="61">
        <f t="shared" si="5"/>
        <v>1.0929432055113042</v>
      </c>
      <c r="Z15" s="155">
        <v>0</v>
      </c>
      <c r="AA15" s="189">
        <v>910.002</v>
      </c>
      <c r="AB15" s="185">
        <v>2107.86671</v>
      </c>
      <c r="AC15" s="61">
        <f t="shared" si="6"/>
        <v>0.43171705102738683</v>
      </c>
      <c r="AD15" s="181">
        <f t="shared" si="7"/>
        <v>0.5682829489726131</v>
      </c>
      <c r="AE15" s="184">
        <v>5476.77307</v>
      </c>
      <c r="AF15" s="185">
        <v>8239.48611</v>
      </c>
      <c r="AG15" s="185">
        <v>149.5</v>
      </c>
      <c r="AH15" s="58">
        <f t="shared" si="8"/>
        <v>0.6769817643110886</v>
      </c>
      <c r="AI15" s="60">
        <v>0.5</v>
      </c>
      <c r="AJ15" s="195">
        <v>-11</v>
      </c>
      <c r="AK15" s="196">
        <v>92.1</v>
      </c>
      <c r="AL15" s="196">
        <f t="shared" si="9"/>
        <v>-103.1</v>
      </c>
      <c r="AM15" s="147">
        <v>1</v>
      </c>
      <c r="AN15" s="62">
        <v>2018.3</v>
      </c>
      <c r="AO15" s="62">
        <v>2467.2</v>
      </c>
      <c r="AP15" s="63">
        <f t="shared" si="10"/>
        <v>0.8180528534370948</v>
      </c>
      <c r="AQ15" s="64">
        <v>1</v>
      </c>
      <c r="AR15" s="65">
        <f>AT15*100/AT46</f>
        <v>2.1228502538289935</v>
      </c>
      <c r="AS15" s="144">
        <v>8123.68</v>
      </c>
      <c r="AT15" s="62">
        <v>8123.7</v>
      </c>
      <c r="AU15" s="62">
        <v>4182.7</v>
      </c>
      <c r="AV15" s="26">
        <f t="shared" si="11"/>
        <v>0.5148774939436315</v>
      </c>
      <c r="AW15" s="203">
        <v>0.8</v>
      </c>
      <c r="AX15" s="62">
        <v>1937.58</v>
      </c>
      <c r="AY15" s="66">
        <f t="shared" si="12"/>
        <v>96.00059455977804</v>
      </c>
      <c r="AZ15" s="66">
        <f t="shared" si="13"/>
        <v>46.32366653118799</v>
      </c>
      <c r="BA15" s="203">
        <v>0</v>
      </c>
      <c r="BB15" s="203">
        <v>1</v>
      </c>
      <c r="BC15" s="67">
        <v>2204</v>
      </c>
      <c r="BD15" s="31">
        <f t="shared" si="42"/>
        <v>3685.880217785844</v>
      </c>
      <c r="BE15" s="63">
        <f>BD15/BD49*100%</f>
        <v>0.9518706111126164</v>
      </c>
      <c r="BF15" s="203">
        <v>0.9</v>
      </c>
      <c r="BG15" s="68">
        <f>BD15*100/BD46</f>
        <v>95.18706111126164</v>
      </c>
      <c r="BH15" s="69">
        <f t="shared" si="14"/>
        <v>65.68159589753753</v>
      </c>
      <c r="BI15" s="69">
        <f t="shared" si="15"/>
        <v>16.31832354715216</v>
      </c>
      <c r="BJ15" s="62">
        <f>1325651.65/1000</f>
        <v>1325.65165</v>
      </c>
      <c r="BK15" s="66">
        <f t="shared" si="16"/>
        <v>601.475340290381</v>
      </c>
      <c r="BL15" s="58">
        <f>BK15/BK49*100%</f>
        <v>0.8799827588016806</v>
      </c>
      <c r="BM15" s="205">
        <v>0</v>
      </c>
      <c r="BN15" s="70">
        <v>429.1</v>
      </c>
      <c r="BO15" s="71">
        <v>17.6</v>
      </c>
      <c r="BP15" s="58">
        <f t="shared" si="17"/>
        <v>0.03940004477277815</v>
      </c>
      <c r="BQ15" s="208">
        <v>1</v>
      </c>
      <c r="BR15" s="209">
        <v>1</v>
      </c>
      <c r="BS15" s="62">
        <v>0</v>
      </c>
      <c r="BT15" s="72">
        <f t="shared" si="18"/>
        <v>0</v>
      </c>
      <c r="BU15" s="211">
        <f t="shared" si="19"/>
        <v>0</v>
      </c>
      <c r="BV15" s="169">
        <v>0</v>
      </c>
      <c r="BW15" s="214">
        <f t="shared" si="20"/>
        <v>1</v>
      </c>
      <c r="BX15" s="219">
        <f>4+3+2</f>
        <v>9</v>
      </c>
      <c r="BY15" s="214">
        <f t="shared" si="21"/>
        <v>0.25</v>
      </c>
      <c r="BZ15" s="224">
        <v>2</v>
      </c>
      <c r="CA15" s="33">
        <v>0</v>
      </c>
      <c r="CB15" s="224">
        <v>2</v>
      </c>
      <c r="CC15" s="221">
        <f t="shared" si="22"/>
        <v>0.5</v>
      </c>
      <c r="CD15" s="225">
        <v>0</v>
      </c>
      <c r="CE15" s="223">
        <f>1-CD15/1</f>
        <v>1</v>
      </c>
      <c r="CF15" s="70"/>
      <c r="CG15" s="221">
        <f t="shared" si="23"/>
        <v>1</v>
      </c>
      <c r="CH15" s="73"/>
      <c r="CI15" s="48"/>
      <c r="CJ15" s="31">
        <v>1</v>
      </c>
      <c r="CK15" s="221">
        <f t="shared" si="24"/>
        <v>0</v>
      </c>
      <c r="CL15" s="240">
        <f t="shared" si="25"/>
        <v>14</v>
      </c>
      <c r="CM15" s="221">
        <f t="shared" si="26"/>
        <v>0.30000000000000004</v>
      </c>
      <c r="CN15" s="74"/>
      <c r="CO15" s="48">
        <f t="shared" si="27"/>
        <v>1</v>
      </c>
      <c r="CP15" s="66"/>
      <c r="CQ15" s="66">
        <f t="shared" si="28"/>
        <v>1</v>
      </c>
      <c r="CR15" s="224">
        <v>3</v>
      </c>
      <c r="CS15" s="209">
        <f t="shared" si="29"/>
        <v>0</v>
      </c>
      <c r="CT15" s="224">
        <v>1</v>
      </c>
      <c r="CU15" s="33">
        <f t="shared" si="30"/>
        <v>0.5</v>
      </c>
      <c r="CV15" s="219">
        <v>5</v>
      </c>
      <c r="CW15" s="239">
        <f t="shared" si="31"/>
        <v>0</v>
      </c>
      <c r="CX15" s="219">
        <f>4+2+2+2</f>
        <v>10</v>
      </c>
      <c r="CY15" s="239">
        <f t="shared" si="32"/>
        <v>0.09090909090909094</v>
      </c>
      <c r="CZ15" s="219">
        <v>8</v>
      </c>
      <c r="DA15" s="214">
        <f t="shared" si="33"/>
        <v>0</v>
      </c>
      <c r="DB15" s="240">
        <f t="shared" si="34"/>
        <v>27</v>
      </c>
      <c r="DC15" s="239">
        <f t="shared" si="35"/>
        <v>0</v>
      </c>
      <c r="DD15" s="252">
        <v>1</v>
      </c>
      <c r="DE15" s="253">
        <v>0.5</v>
      </c>
      <c r="DF15" s="224">
        <v>11</v>
      </c>
      <c r="DG15" s="251">
        <f t="shared" si="36"/>
        <v>0.2142857142857143</v>
      </c>
      <c r="DH15" s="70">
        <v>10</v>
      </c>
      <c r="DI15" s="209">
        <f t="shared" si="37"/>
        <v>0.7777777777777778</v>
      </c>
      <c r="DJ15" s="62">
        <v>1</v>
      </c>
      <c r="DK15" s="253">
        <v>0</v>
      </c>
      <c r="DL15" s="224">
        <v>5</v>
      </c>
      <c r="DM15" s="260">
        <v>0.8</v>
      </c>
      <c r="DN15" s="220">
        <f t="shared" si="38"/>
        <v>28</v>
      </c>
      <c r="DO15" s="259">
        <f t="shared" si="39"/>
        <v>0.5483870967741935</v>
      </c>
      <c r="DP15" s="175">
        <v>817</v>
      </c>
      <c r="DQ15" s="166">
        <f>1-DP15/(1380)*100/100</f>
        <v>0.40797101449275364</v>
      </c>
      <c r="DR15" s="66">
        <v>0</v>
      </c>
      <c r="DS15" s="28">
        <f t="shared" si="40"/>
        <v>1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50">
        <f t="shared" si="41"/>
        <v>21.324641060239564</v>
      </c>
      <c r="EQ15" s="24">
        <v>14</v>
      </c>
      <c r="ER15" s="53" t="s">
        <v>117</v>
      </c>
      <c r="ES15" s="77"/>
    </row>
    <row r="16" spans="1:149" s="54" customFormat="1" ht="18.75">
      <c r="A16" s="55">
        <f t="shared" si="0"/>
        <v>7</v>
      </c>
      <c r="B16" s="56" t="s">
        <v>124</v>
      </c>
      <c r="C16" s="57">
        <v>0</v>
      </c>
      <c r="D16" s="158">
        <v>1</v>
      </c>
      <c r="E16" s="57">
        <v>0</v>
      </c>
      <c r="F16" s="158">
        <v>1</v>
      </c>
      <c r="G16" s="189">
        <v>7475.8</v>
      </c>
      <c r="H16" s="185">
        <v>5906.8034</v>
      </c>
      <c r="I16" s="58">
        <f t="shared" si="1"/>
        <v>0.2098767489766982</v>
      </c>
      <c r="J16" s="78">
        <v>0</v>
      </c>
      <c r="K16" s="189">
        <v>5906.8034</v>
      </c>
      <c r="L16" s="185">
        <v>12398.2037</v>
      </c>
      <c r="M16" s="58">
        <f t="shared" si="2"/>
        <v>0.47642412908573195</v>
      </c>
      <c r="N16" s="59">
        <v>0.5</v>
      </c>
      <c r="O16" s="189">
        <v>5906.8034</v>
      </c>
      <c r="P16" s="185">
        <v>6106.73162</v>
      </c>
      <c r="Q16" s="58">
        <f t="shared" si="3"/>
        <v>0.967261010890798</v>
      </c>
      <c r="R16" s="28">
        <v>1</v>
      </c>
      <c r="S16" s="189">
        <v>5906.8034</v>
      </c>
      <c r="T16" s="185">
        <v>5516.26364</v>
      </c>
      <c r="U16" s="61">
        <f t="shared" si="4"/>
        <v>1.0707978779636427</v>
      </c>
      <c r="V16" s="155">
        <v>1</v>
      </c>
      <c r="W16" s="189">
        <v>450.5948</v>
      </c>
      <c r="X16" s="185">
        <v>746.8561</v>
      </c>
      <c r="Y16" s="61">
        <f t="shared" si="5"/>
        <v>1.6574893895801726</v>
      </c>
      <c r="Z16" s="155">
        <v>0</v>
      </c>
      <c r="AA16" s="189">
        <v>746.8561</v>
      </c>
      <c r="AB16" s="185">
        <v>5577.89131</v>
      </c>
      <c r="AC16" s="61">
        <f t="shared" si="6"/>
        <v>0.13389577861817462</v>
      </c>
      <c r="AD16" s="181">
        <f t="shared" si="7"/>
        <v>0.8661042213818254</v>
      </c>
      <c r="AE16" s="184">
        <v>6491.4003</v>
      </c>
      <c r="AF16" s="185">
        <v>12398.2037</v>
      </c>
      <c r="AG16" s="185">
        <v>300.84</v>
      </c>
      <c r="AH16" s="58">
        <f t="shared" si="8"/>
        <v>0.536596275104137</v>
      </c>
      <c r="AI16" s="60">
        <v>0.5</v>
      </c>
      <c r="AJ16" s="195">
        <v>490</v>
      </c>
      <c r="AK16" s="196">
        <v>495.5</v>
      </c>
      <c r="AL16" s="196">
        <f t="shared" si="9"/>
        <v>-5.5</v>
      </c>
      <c r="AM16" s="147">
        <v>1</v>
      </c>
      <c r="AN16" s="62">
        <v>2357.9</v>
      </c>
      <c r="AO16" s="62">
        <v>3263.5</v>
      </c>
      <c r="AP16" s="63">
        <f t="shared" si="10"/>
        <v>0.7225065114141259</v>
      </c>
      <c r="AQ16" s="64">
        <v>1</v>
      </c>
      <c r="AR16" s="65">
        <f>AT16*100/AT46</f>
        <v>3.332323783725729</v>
      </c>
      <c r="AS16" s="144">
        <v>12752.05</v>
      </c>
      <c r="AT16" s="62">
        <v>12752.1</v>
      </c>
      <c r="AU16" s="62">
        <v>4237.8</v>
      </c>
      <c r="AV16" s="26">
        <f t="shared" si="11"/>
        <v>0.3323230382565941</v>
      </c>
      <c r="AW16" s="203">
        <v>1</v>
      </c>
      <c r="AX16" s="62">
        <v>2342.9</v>
      </c>
      <c r="AY16" s="66">
        <f t="shared" si="12"/>
        <v>99.3638407057127</v>
      </c>
      <c r="AZ16" s="66">
        <f t="shared" si="13"/>
        <v>55.285761480013214</v>
      </c>
      <c r="BA16" s="203">
        <v>0</v>
      </c>
      <c r="BB16" s="203">
        <v>1</v>
      </c>
      <c r="BC16" s="67">
        <v>5177</v>
      </c>
      <c r="BD16" s="31">
        <f t="shared" si="42"/>
        <v>2463.212285107205</v>
      </c>
      <c r="BE16" s="63">
        <f>BD16/BD47*100%</f>
        <v>0.6361192563478275</v>
      </c>
      <c r="BF16" s="203">
        <v>0</v>
      </c>
      <c r="BG16" s="68">
        <f>BD16*100/BD46</f>
        <v>63.61192563478274</v>
      </c>
      <c r="BH16" s="69">
        <f t="shared" si="14"/>
        <v>4.043988718775181</v>
      </c>
      <c r="BI16" s="69">
        <f t="shared" si="15"/>
        <v>0.7477451556998455</v>
      </c>
      <c r="BJ16" s="62">
        <f>95353.21/1000</f>
        <v>95.35321</v>
      </c>
      <c r="BK16" s="66">
        <f t="shared" si="16"/>
        <v>18.418622754491018</v>
      </c>
      <c r="BL16" s="58">
        <f>BK16/BK47*100%</f>
        <v>0.026947190315399237</v>
      </c>
      <c r="BM16" s="205">
        <v>0</v>
      </c>
      <c r="BN16" s="70">
        <v>0</v>
      </c>
      <c r="BO16" s="71">
        <v>0</v>
      </c>
      <c r="BP16" s="58"/>
      <c r="BQ16" s="208"/>
      <c r="BR16" s="209">
        <v>1</v>
      </c>
      <c r="BS16" s="62">
        <f>316944.1/1000</f>
        <v>316.9441</v>
      </c>
      <c r="BT16" s="72">
        <f t="shared" si="18"/>
        <v>0.02485426714031414</v>
      </c>
      <c r="BU16" s="211">
        <f t="shared" si="19"/>
        <v>0.04970853428062828</v>
      </c>
      <c r="BV16" s="169">
        <v>1.9636752110260332</v>
      </c>
      <c r="BW16" s="214">
        <f t="shared" si="20"/>
        <v>0.9803632478897397</v>
      </c>
      <c r="BX16" s="219">
        <f>1+2+1</f>
        <v>4</v>
      </c>
      <c r="BY16" s="214">
        <f t="shared" si="21"/>
        <v>0.6666666666666667</v>
      </c>
      <c r="BZ16" s="224">
        <v>0</v>
      </c>
      <c r="CA16" s="33">
        <v>1</v>
      </c>
      <c r="CB16" s="224">
        <v>0</v>
      </c>
      <c r="CC16" s="221">
        <f t="shared" si="22"/>
        <v>1</v>
      </c>
      <c r="CD16" s="225">
        <v>0</v>
      </c>
      <c r="CE16" s="223">
        <f>1-CD16/1</f>
        <v>1</v>
      </c>
      <c r="CF16" s="70"/>
      <c r="CG16" s="221">
        <f t="shared" si="23"/>
        <v>1</v>
      </c>
      <c r="CH16" s="73"/>
      <c r="CI16" s="48"/>
      <c r="CJ16" s="31"/>
      <c r="CK16" s="221">
        <f t="shared" si="24"/>
        <v>1</v>
      </c>
      <c r="CL16" s="240">
        <f t="shared" si="25"/>
        <v>4</v>
      </c>
      <c r="CM16" s="221">
        <f t="shared" si="26"/>
        <v>0.8</v>
      </c>
      <c r="CN16" s="74"/>
      <c r="CO16" s="48">
        <f t="shared" si="27"/>
        <v>1</v>
      </c>
      <c r="CP16" s="66"/>
      <c r="CQ16" s="66">
        <f t="shared" si="28"/>
        <v>1</v>
      </c>
      <c r="CR16" s="224">
        <v>0</v>
      </c>
      <c r="CS16" s="209">
        <f t="shared" si="29"/>
        <v>1</v>
      </c>
      <c r="CT16" s="224">
        <v>0</v>
      </c>
      <c r="CU16" s="33">
        <f t="shared" si="30"/>
        <v>1</v>
      </c>
      <c r="CV16" s="219">
        <v>1</v>
      </c>
      <c r="CW16" s="239">
        <f t="shared" si="31"/>
        <v>0.8</v>
      </c>
      <c r="CX16" s="219">
        <v>3</v>
      </c>
      <c r="CY16" s="239">
        <f t="shared" si="32"/>
        <v>0.7272727272727273</v>
      </c>
      <c r="CZ16" s="219">
        <v>1</v>
      </c>
      <c r="DA16" s="214">
        <f t="shared" si="33"/>
        <v>0.875</v>
      </c>
      <c r="DB16" s="240">
        <f t="shared" si="34"/>
        <v>5</v>
      </c>
      <c r="DC16" s="239">
        <f t="shared" si="35"/>
        <v>0.8148148148148149</v>
      </c>
      <c r="DD16" s="252">
        <v>0</v>
      </c>
      <c r="DE16" s="253">
        <v>1</v>
      </c>
      <c r="DF16" s="224">
        <v>1</v>
      </c>
      <c r="DG16" s="251">
        <f t="shared" si="36"/>
        <v>0.9285714285714286</v>
      </c>
      <c r="DH16" s="70">
        <v>10</v>
      </c>
      <c r="DI16" s="209">
        <f t="shared" si="37"/>
        <v>0.7777777777777778</v>
      </c>
      <c r="DJ16" s="62">
        <v>1</v>
      </c>
      <c r="DK16" s="253">
        <v>0</v>
      </c>
      <c r="DL16" s="224">
        <v>1</v>
      </c>
      <c r="DM16" s="260">
        <v>0.8333333333333334</v>
      </c>
      <c r="DN16" s="220">
        <f t="shared" si="38"/>
        <v>13</v>
      </c>
      <c r="DO16" s="259">
        <f t="shared" si="39"/>
        <v>0.7903225806451613</v>
      </c>
      <c r="DP16" s="175">
        <v>103</v>
      </c>
      <c r="DQ16" s="166">
        <f>1-DP16/(1031)*100/100</f>
        <v>0.9000969932104752</v>
      </c>
      <c r="DR16" s="66">
        <v>0</v>
      </c>
      <c r="DS16" s="28">
        <f t="shared" si="40"/>
        <v>1</v>
      </c>
      <c r="DT16" s="45">
        <v>1</v>
      </c>
      <c r="DU16" s="28">
        <v>1</v>
      </c>
      <c r="DV16" s="75"/>
      <c r="DW16" s="45">
        <v>1</v>
      </c>
      <c r="DX16" s="28">
        <v>1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50">
        <f t="shared" si="41"/>
        <v>22.201410392222645</v>
      </c>
      <c r="EQ16" s="24">
        <v>8</v>
      </c>
      <c r="ER16" s="53" t="s">
        <v>117</v>
      </c>
      <c r="ES16" s="77"/>
    </row>
    <row r="17" spans="1:148" s="54" customFormat="1" ht="18.75">
      <c r="A17" s="55">
        <f t="shared" si="0"/>
        <v>8</v>
      </c>
      <c r="B17" s="324" t="s">
        <v>125</v>
      </c>
      <c r="C17" s="57">
        <v>0</v>
      </c>
      <c r="D17" s="158">
        <v>1</v>
      </c>
      <c r="E17" s="57">
        <v>0</v>
      </c>
      <c r="F17" s="158">
        <v>1</v>
      </c>
      <c r="G17" s="189">
        <v>6324.1</v>
      </c>
      <c r="H17" s="185">
        <v>2210.23561</v>
      </c>
      <c r="I17" s="58">
        <f t="shared" si="1"/>
        <v>0.6505059043974637</v>
      </c>
      <c r="J17" s="78">
        <v>0</v>
      </c>
      <c r="K17" s="189">
        <v>2210.23561</v>
      </c>
      <c r="L17" s="185">
        <v>9698.91023</v>
      </c>
      <c r="M17" s="58">
        <f t="shared" si="2"/>
        <v>0.22788494352318595</v>
      </c>
      <c r="N17" s="59">
        <v>0.3</v>
      </c>
      <c r="O17" s="189">
        <v>2210.23561</v>
      </c>
      <c r="P17" s="185">
        <v>5264.16345</v>
      </c>
      <c r="Q17" s="58">
        <f t="shared" si="3"/>
        <v>0.41986454846876003</v>
      </c>
      <c r="R17" s="28">
        <f>Q17/95%</f>
        <v>0.4419626825986948</v>
      </c>
      <c r="S17" s="189">
        <v>2210.23561</v>
      </c>
      <c r="T17" s="185">
        <v>1781.52361</v>
      </c>
      <c r="U17" s="61">
        <f t="shared" si="4"/>
        <v>1.2406434568666762</v>
      </c>
      <c r="V17" s="155">
        <v>1</v>
      </c>
      <c r="W17" s="189">
        <v>509.0997</v>
      </c>
      <c r="X17" s="185">
        <v>720.7379</v>
      </c>
      <c r="Y17" s="61">
        <f t="shared" si="5"/>
        <v>1.4157107144239134</v>
      </c>
      <c r="Z17" s="155">
        <v>0</v>
      </c>
      <c r="AA17" s="189">
        <v>720.7379</v>
      </c>
      <c r="AB17" s="185">
        <v>2019.2273</v>
      </c>
      <c r="AC17" s="61">
        <f t="shared" si="6"/>
        <v>0.356937478014486</v>
      </c>
      <c r="AD17" s="181">
        <f t="shared" si="7"/>
        <v>0.643062521985514</v>
      </c>
      <c r="AE17" s="184">
        <v>7488.67462</v>
      </c>
      <c r="AF17" s="185">
        <v>9698.91023</v>
      </c>
      <c r="AG17" s="185">
        <v>173.19</v>
      </c>
      <c r="AH17" s="58">
        <f t="shared" si="8"/>
        <v>0.7861531137997742</v>
      </c>
      <c r="AI17" s="60">
        <v>0.3</v>
      </c>
      <c r="AJ17" s="195">
        <v>335.9</v>
      </c>
      <c r="AK17" s="196">
        <v>209</v>
      </c>
      <c r="AL17" s="196">
        <f t="shared" si="9"/>
        <v>126.89999999999998</v>
      </c>
      <c r="AM17" s="147">
        <v>0</v>
      </c>
      <c r="AN17" s="62">
        <v>2380.6</v>
      </c>
      <c r="AO17" s="62">
        <v>2942.3</v>
      </c>
      <c r="AP17" s="63">
        <f t="shared" si="10"/>
        <v>0.8090949257383678</v>
      </c>
      <c r="AQ17" s="64">
        <v>1</v>
      </c>
      <c r="AR17" s="65">
        <f>AT17*100/AT31</f>
        <v>80.8661983785051</v>
      </c>
      <c r="AS17" s="144">
        <v>10004.19</v>
      </c>
      <c r="AT17" s="62">
        <v>10004.2</v>
      </c>
      <c r="AU17" s="62">
        <v>5229.7</v>
      </c>
      <c r="AV17" s="26">
        <f t="shared" si="11"/>
        <v>0.5227509673446825</v>
      </c>
      <c r="AW17" s="203">
        <v>0.8</v>
      </c>
      <c r="AX17" s="62">
        <v>2224.99</v>
      </c>
      <c r="AY17" s="66">
        <f t="shared" si="12"/>
        <v>93.46341258506258</v>
      </c>
      <c r="AZ17" s="66">
        <f t="shared" si="13"/>
        <v>42.545270283190234</v>
      </c>
      <c r="BA17" s="203">
        <v>0</v>
      </c>
      <c r="BB17" s="203">
        <v>1</v>
      </c>
      <c r="BC17" s="67">
        <v>3312</v>
      </c>
      <c r="BD17" s="31">
        <f t="shared" si="42"/>
        <v>3020.588768115942</v>
      </c>
      <c r="BE17" s="63">
        <f>BD17/BD23*100%</f>
        <v>1.208533522328091</v>
      </c>
      <c r="BF17" s="203">
        <v>0.7</v>
      </c>
      <c r="BG17" s="68">
        <f>BD17*100/BD31</f>
        <v>141.58941180044997</v>
      </c>
      <c r="BH17" s="69">
        <f t="shared" si="14"/>
        <v>149.1689187599765</v>
      </c>
      <c r="BI17" s="69">
        <f t="shared" si="15"/>
        <v>35.496244377361506</v>
      </c>
      <c r="BJ17" s="62">
        <f>3551115.28/1000</f>
        <v>3551.11528</v>
      </c>
      <c r="BK17" s="66">
        <f t="shared" si="16"/>
        <v>1072.1966425120772</v>
      </c>
      <c r="BL17" s="58">
        <f>BK17/BK23*100%</f>
        <v>1.9571596820472412</v>
      </c>
      <c r="BM17" s="205">
        <v>1</v>
      </c>
      <c r="BN17" s="70">
        <v>1251.7</v>
      </c>
      <c r="BO17" s="71">
        <v>88.77</v>
      </c>
      <c r="BP17" s="58">
        <f>BO17/(BN17+BO17)</f>
        <v>0.06622304117212618</v>
      </c>
      <c r="BQ17" s="208">
        <v>1</v>
      </c>
      <c r="BR17" s="209">
        <v>1</v>
      </c>
      <c r="BS17" s="62">
        <f>322472/1000</f>
        <v>322.472</v>
      </c>
      <c r="BT17" s="72">
        <f t="shared" si="18"/>
        <v>0.03223366186201795</v>
      </c>
      <c r="BU17" s="211">
        <f t="shared" si="19"/>
        <v>0.0644673237240359</v>
      </c>
      <c r="BV17" s="169">
        <v>0</v>
      </c>
      <c r="BW17" s="214">
        <f t="shared" si="20"/>
        <v>1</v>
      </c>
      <c r="BX17" s="219">
        <f>2+1+1</f>
        <v>4</v>
      </c>
      <c r="BY17" s="214">
        <f t="shared" si="21"/>
        <v>0.6666666666666667</v>
      </c>
      <c r="BZ17" s="224">
        <v>0</v>
      </c>
      <c r="CA17" s="33">
        <v>1</v>
      </c>
      <c r="CB17" s="224">
        <v>0</v>
      </c>
      <c r="CC17" s="221">
        <f t="shared" si="22"/>
        <v>1</v>
      </c>
      <c r="CD17" s="225">
        <v>1</v>
      </c>
      <c r="CE17" s="223">
        <v>0.5</v>
      </c>
      <c r="CF17" s="70"/>
      <c r="CG17" s="221">
        <f t="shared" si="23"/>
        <v>1</v>
      </c>
      <c r="CH17" s="73"/>
      <c r="CI17" s="48"/>
      <c r="CJ17" s="31">
        <v>1</v>
      </c>
      <c r="CK17" s="221">
        <f t="shared" si="24"/>
        <v>0</v>
      </c>
      <c r="CL17" s="240">
        <f t="shared" si="25"/>
        <v>6</v>
      </c>
      <c r="CM17" s="221">
        <f t="shared" si="26"/>
        <v>0.7</v>
      </c>
      <c r="CN17" s="74"/>
      <c r="CO17" s="48">
        <f t="shared" si="27"/>
        <v>1</v>
      </c>
      <c r="CP17" s="66"/>
      <c r="CQ17" s="66">
        <f t="shared" si="28"/>
        <v>1</v>
      </c>
      <c r="CR17" s="224">
        <v>0</v>
      </c>
      <c r="CS17" s="209">
        <f t="shared" si="29"/>
        <v>1</v>
      </c>
      <c r="CT17" s="224">
        <v>1</v>
      </c>
      <c r="CU17" s="33">
        <f t="shared" si="30"/>
        <v>0.5</v>
      </c>
      <c r="CV17" s="219">
        <v>2</v>
      </c>
      <c r="CW17" s="239">
        <f t="shared" si="31"/>
        <v>0.6</v>
      </c>
      <c r="CX17" s="219">
        <f>2+3+1+1</f>
        <v>7</v>
      </c>
      <c r="CY17" s="239">
        <f t="shared" si="32"/>
        <v>0.36363636363636365</v>
      </c>
      <c r="CZ17" s="219">
        <v>0</v>
      </c>
      <c r="DA17" s="214">
        <f t="shared" si="33"/>
        <v>1</v>
      </c>
      <c r="DB17" s="240">
        <f t="shared" si="34"/>
        <v>10</v>
      </c>
      <c r="DC17" s="239">
        <f t="shared" si="35"/>
        <v>0.6296296296296297</v>
      </c>
      <c r="DD17" s="252">
        <v>1</v>
      </c>
      <c r="DE17" s="253">
        <v>0.5</v>
      </c>
      <c r="DF17" s="224">
        <v>7</v>
      </c>
      <c r="DG17" s="251">
        <f t="shared" si="36"/>
        <v>0.5</v>
      </c>
      <c r="DH17" s="70">
        <v>1</v>
      </c>
      <c r="DI17" s="209">
        <f t="shared" si="37"/>
        <v>0.9777777777777777</v>
      </c>
      <c r="DJ17" s="62">
        <v>1</v>
      </c>
      <c r="DK17" s="253">
        <v>0</v>
      </c>
      <c r="DL17" s="224">
        <v>1</v>
      </c>
      <c r="DM17" s="260">
        <v>0.8</v>
      </c>
      <c r="DN17" s="220">
        <f t="shared" si="38"/>
        <v>11</v>
      </c>
      <c r="DO17" s="259">
        <f t="shared" si="39"/>
        <v>0.8225806451612903</v>
      </c>
      <c r="DP17" s="175">
        <v>401</v>
      </c>
      <c r="DQ17" s="166">
        <f>1-DP17/(1285)*100/100</f>
        <v>0.6879377431906615</v>
      </c>
      <c r="DR17" s="66">
        <v>1</v>
      </c>
      <c r="DS17" s="28">
        <f t="shared" si="40"/>
        <v>0.75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0</v>
      </c>
      <c r="EJ17" s="172">
        <v>0</v>
      </c>
      <c r="EK17" s="75"/>
      <c r="EL17" s="49"/>
      <c r="EM17" s="158"/>
      <c r="EN17" s="176"/>
      <c r="EO17" s="174"/>
      <c r="EP17" s="325">
        <f t="shared" si="41"/>
        <v>19.83964054628982</v>
      </c>
      <c r="EQ17" s="326">
        <v>23</v>
      </c>
      <c r="ER17" s="370" t="s">
        <v>116</v>
      </c>
    </row>
    <row r="18" spans="1:148" s="54" customFormat="1" ht="18.75">
      <c r="A18" s="55">
        <f t="shared" si="0"/>
        <v>9</v>
      </c>
      <c r="B18" s="56" t="s">
        <v>126</v>
      </c>
      <c r="C18" s="57">
        <v>0</v>
      </c>
      <c r="D18" s="158">
        <v>1</v>
      </c>
      <c r="E18" s="57">
        <v>0</v>
      </c>
      <c r="F18" s="158">
        <v>1</v>
      </c>
      <c r="G18" s="189">
        <v>9138.9</v>
      </c>
      <c r="H18" s="185">
        <v>10106.00717</v>
      </c>
      <c r="I18" s="58">
        <f t="shared" si="1"/>
        <v>-0.10582314830012378</v>
      </c>
      <c r="J18" s="78">
        <f>100%+I18/20%</f>
        <v>0.4708842584993811</v>
      </c>
      <c r="K18" s="189">
        <v>10106.00717</v>
      </c>
      <c r="L18" s="185">
        <v>17160.13408</v>
      </c>
      <c r="M18" s="58">
        <f t="shared" si="2"/>
        <v>0.5889235551940396</v>
      </c>
      <c r="N18" s="59">
        <v>0.8</v>
      </c>
      <c r="O18" s="189">
        <v>10106.00717</v>
      </c>
      <c r="P18" s="185">
        <v>10197.46602</v>
      </c>
      <c r="Q18" s="58">
        <f t="shared" si="3"/>
        <v>0.9910312179691873</v>
      </c>
      <c r="R18" s="28">
        <f>Q18/95%</f>
        <v>1.0431907557570392</v>
      </c>
      <c r="S18" s="189">
        <v>10106.00717</v>
      </c>
      <c r="T18" s="185">
        <v>7335.46107</v>
      </c>
      <c r="U18" s="61">
        <f t="shared" si="4"/>
        <v>1.3776921550754</v>
      </c>
      <c r="V18" s="155">
        <v>1</v>
      </c>
      <c r="W18" s="189">
        <v>2086.5532</v>
      </c>
      <c r="X18" s="185">
        <v>2015.3319</v>
      </c>
      <c r="Y18" s="61">
        <f t="shared" si="5"/>
        <v>0.9658665305059081</v>
      </c>
      <c r="Z18" s="155">
        <v>0.03</v>
      </c>
      <c r="AA18" s="189">
        <v>2015.3319</v>
      </c>
      <c r="AB18" s="185">
        <v>9506.14031</v>
      </c>
      <c r="AC18" s="61">
        <f t="shared" si="6"/>
        <v>0.21200317208446504</v>
      </c>
      <c r="AD18" s="181">
        <f t="shared" si="7"/>
        <v>0.7879968279155349</v>
      </c>
      <c r="AE18" s="184">
        <v>7054.12691</v>
      </c>
      <c r="AF18" s="185">
        <v>17160.13408</v>
      </c>
      <c r="AG18" s="185">
        <v>302.45</v>
      </c>
      <c r="AH18" s="58">
        <f t="shared" si="8"/>
        <v>0.41845172068261943</v>
      </c>
      <c r="AI18" s="60">
        <v>0.8</v>
      </c>
      <c r="AJ18" s="195">
        <v>775.2</v>
      </c>
      <c r="AK18" s="196">
        <v>434.7</v>
      </c>
      <c r="AL18" s="196">
        <f t="shared" si="9"/>
        <v>340.50000000000006</v>
      </c>
      <c r="AM18" s="147">
        <v>0</v>
      </c>
      <c r="AN18" s="62">
        <v>2956.6</v>
      </c>
      <c r="AO18" s="62">
        <v>3292.7</v>
      </c>
      <c r="AP18" s="63">
        <f t="shared" si="10"/>
        <v>0.8979257144592584</v>
      </c>
      <c r="AQ18" s="64">
        <v>1</v>
      </c>
      <c r="AR18" s="65">
        <f>AT18*100/AT48</f>
        <v>4.617578863114741</v>
      </c>
      <c r="AS18" s="144">
        <v>17670.52</v>
      </c>
      <c r="AT18" s="62">
        <v>17670.5</v>
      </c>
      <c r="AU18" s="62">
        <v>6082.9</v>
      </c>
      <c r="AV18" s="26">
        <f t="shared" si="11"/>
        <v>0.34424001104664714</v>
      </c>
      <c r="AW18" s="203">
        <v>1</v>
      </c>
      <c r="AX18" s="62">
        <v>2883.66</v>
      </c>
      <c r="AY18" s="66">
        <f t="shared" si="12"/>
        <v>97.53297706825408</v>
      </c>
      <c r="AZ18" s="66">
        <f t="shared" si="13"/>
        <v>47.40600700323859</v>
      </c>
      <c r="BA18" s="203">
        <v>0</v>
      </c>
      <c r="BB18" s="203">
        <v>1</v>
      </c>
      <c r="BC18" s="67">
        <v>5354</v>
      </c>
      <c r="BD18" s="31">
        <f t="shared" si="42"/>
        <v>3300.4333208815838</v>
      </c>
      <c r="BE18" s="63">
        <f>BD18/BD52*100%</f>
        <v>0.8523297818861802</v>
      </c>
      <c r="BF18" s="203">
        <v>0.8</v>
      </c>
      <c r="BG18" s="68">
        <f>BD18*100/BD48</f>
        <v>85.23297818861802</v>
      </c>
      <c r="BH18" s="69">
        <f t="shared" si="14"/>
        <v>57.14703713725225</v>
      </c>
      <c r="BI18" s="69">
        <f t="shared" si="15"/>
        <v>9.561751506748536</v>
      </c>
      <c r="BJ18" s="62">
        <f>1689609.3/1000</f>
        <v>1689.6093</v>
      </c>
      <c r="BK18" s="66">
        <f t="shared" si="16"/>
        <v>315.5788756070228</v>
      </c>
      <c r="BL18" s="58">
        <f>BK18/BK52*100%</f>
        <v>0.46170466347320244</v>
      </c>
      <c r="BM18" s="205">
        <v>0</v>
      </c>
      <c r="BN18" s="70">
        <v>0</v>
      </c>
      <c r="BO18" s="71">
        <v>0</v>
      </c>
      <c r="BP18" s="58"/>
      <c r="BQ18" s="208"/>
      <c r="BR18" s="209">
        <v>1</v>
      </c>
      <c r="BS18" s="62">
        <f>680001.86/1000</f>
        <v>680.00186</v>
      </c>
      <c r="BT18" s="72">
        <f t="shared" si="18"/>
        <v>0.03848232138309612</v>
      </c>
      <c r="BU18" s="211">
        <f t="shared" si="19"/>
        <v>0.07696464276619223</v>
      </c>
      <c r="BV18" s="169">
        <v>1.3370342818605623</v>
      </c>
      <c r="BW18" s="214">
        <f t="shared" si="20"/>
        <v>0.9866296571813944</v>
      </c>
      <c r="BX18" s="219">
        <f>2+2+1</f>
        <v>5</v>
      </c>
      <c r="BY18" s="214">
        <f t="shared" si="21"/>
        <v>0.5833333333333333</v>
      </c>
      <c r="BZ18" s="224">
        <v>1</v>
      </c>
      <c r="CA18" s="33">
        <v>0</v>
      </c>
      <c r="CB18" s="224">
        <v>2</v>
      </c>
      <c r="CC18" s="221">
        <f t="shared" si="22"/>
        <v>0.5</v>
      </c>
      <c r="CD18" s="225">
        <v>1</v>
      </c>
      <c r="CE18" s="223">
        <v>0.5</v>
      </c>
      <c r="CF18" s="70"/>
      <c r="CG18" s="221">
        <f t="shared" si="23"/>
        <v>1</v>
      </c>
      <c r="CH18" s="73"/>
      <c r="CI18" s="48"/>
      <c r="CJ18" s="31"/>
      <c r="CK18" s="221">
        <f t="shared" si="24"/>
        <v>1</v>
      </c>
      <c r="CL18" s="240">
        <f t="shared" si="25"/>
        <v>9</v>
      </c>
      <c r="CM18" s="221">
        <f t="shared" si="26"/>
        <v>0.55</v>
      </c>
      <c r="CN18" s="74"/>
      <c r="CO18" s="48">
        <f t="shared" si="27"/>
        <v>1</v>
      </c>
      <c r="CP18" s="66"/>
      <c r="CQ18" s="66">
        <f t="shared" si="28"/>
        <v>1</v>
      </c>
      <c r="CR18" s="224">
        <v>2</v>
      </c>
      <c r="CS18" s="209">
        <f t="shared" si="29"/>
        <v>0.33333333333333337</v>
      </c>
      <c r="CT18" s="224">
        <v>0</v>
      </c>
      <c r="CU18" s="33">
        <f t="shared" si="30"/>
        <v>1</v>
      </c>
      <c r="CV18" s="219">
        <v>1</v>
      </c>
      <c r="CW18" s="239">
        <f t="shared" si="31"/>
        <v>0.8</v>
      </c>
      <c r="CX18" s="219">
        <f>3+3+1+1</f>
        <v>8</v>
      </c>
      <c r="CY18" s="239">
        <f t="shared" si="32"/>
        <v>0.2727272727272727</v>
      </c>
      <c r="CZ18" s="219">
        <v>1</v>
      </c>
      <c r="DA18" s="214">
        <f t="shared" si="33"/>
        <v>0.875</v>
      </c>
      <c r="DB18" s="240">
        <f t="shared" si="34"/>
        <v>12</v>
      </c>
      <c r="DC18" s="239">
        <f t="shared" si="35"/>
        <v>0.5555555555555556</v>
      </c>
      <c r="DD18" s="252">
        <v>0</v>
      </c>
      <c r="DE18" s="253">
        <v>1</v>
      </c>
      <c r="DF18" s="224">
        <v>2</v>
      </c>
      <c r="DG18" s="251">
        <f t="shared" si="36"/>
        <v>0.8571428571428572</v>
      </c>
      <c r="DH18" s="70">
        <v>2</v>
      </c>
      <c r="DI18" s="209">
        <f t="shared" si="37"/>
        <v>0.9555555555555556</v>
      </c>
      <c r="DJ18" s="62">
        <v>1</v>
      </c>
      <c r="DK18" s="253">
        <v>0</v>
      </c>
      <c r="DL18" s="224">
        <v>1</v>
      </c>
      <c r="DM18" s="260">
        <v>0</v>
      </c>
      <c r="DN18" s="220">
        <f t="shared" si="38"/>
        <v>6</v>
      </c>
      <c r="DO18" s="259">
        <f t="shared" si="39"/>
        <v>0.9032258064516129</v>
      </c>
      <c r="DP18" s="175">
        <v>495</v>
      </c>
      <c r="DQ18" s="166">
        <f>1-DP18/(2477)*100/100</f>
        <v>0.8001614856681469</v>
      </c>
      <c r="DR18" s="66">
        <v>1</v>
      </c>
      <c r="DS18" s="28">
        <f t="shared" si="40"/>
        <v>0.75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50">
        <f t="shared" si="41"/>
        <v>22.354608989794855</v>
      </c>
      <c r="EQ18" s="24">
        <v>6</v>
      </c>
      <c r="ER18" s="53" t="s">
        <v>117</v>
      </c>
    </row>
    <row r="19" spans="1:148" s="54" customFormat="1" ht="18.75">
      <c r="A19" s="55">
        <f t="shared" si="0"/>
        <v>10</v>
      </c>
      <c r="B19" s="56" t="s">
        <v>127</v>
      </c>
      <c r="C19" s="57">
        <v>0</v>
      </c>
      <c r="D19" s="158">
        <v>1</v>
      </c>
      <c r="E19" s="57">
        <v>0</v>
      </c>
      <c r="F19" s="158">
        <v>1</v>
      </c>
      <c r="G19" s="189">
        <v>19606.5</v>
      </c>
      <c r="H19" s="185">
        <v>24904.51697</v>
      </c>
      <c r="I19" s="58">
        <f t="shared" si="1"/>
        <v>-0.27021737536021223</v>
      </c>
      <c r="J19" s="78">
        <v>0</v>
      </c>
      <c r="K19" s="189">
        <v>24904.51697</v>
      </c>
      <c r="L19" s="185">
        <v>43327.71538</v>
      </c>
      <c r="M19" s="58">
        <f t="shared" si="2"/>
        <v>0.57479414161532</v>
      </c>
      <c r="N19" s="59">
        <v>0.8</v>
      </c>
      <c r="O19" s="189">
        <v>24904.51697</v>
      </c>
      <c r="P19" s="185">
        <v>24003.75861</v>
      </c>
      <c r="Q19" s="58">
        <f t="shared" si="3"/>
        <v>1.037525721477</v>
      </c>
      <c r="R19" s="28">
        <v>1</v>
      </c>
      <c r="S19" s="189">
        <v>24904.51697</v>
      </c>
      <c r="T19" s="185">
        <v>16422.00425</v>
      </c>
      <c r="U19" s="61">
        <f t="shared" si="4"/>
        <v>1.5165333409288333</v>
      </c>
      <c r="V19" s="155">
        <v>1</v>
      </c>
      <c r="W19" s="189">
        <v>1137.2129</v>
      </c>
      <c r="X19" s="185">
        <v>842.4801</v>
      </c>
      <c r="Y19" s="61">
        <f t="shared" si="5"/>
        <v>0.7408288280936666</v>
      </c>
      <c r="Z19" s="155">
        <v>0.25</v>
      </c>
      <c r="AA19" s="189">
        <v>842.4801</v>
      </c>
      <c r="AB19" s="185">
        <v>19842.04408</v>
      </c>
      <c r="AC19" s="61">
        <f t="shared" si="6"/>
        <v>0.04245934020725147</v>
      </c>
      <c r="AD19" s="181">
        <f t="shared" si="7"/>
        <v>0.9575406597927485</v>
      </c>
      <c r="AE19" s="184">
        <v>18423.19841</v>
      </c>
      <c r="AF19" s="185">
        <v>43327.71538</v>
      </c>
      <c r="AG19" s="185">
        <v>649.98</v>
      </c>
      <c r="AH19" s="58">
        <f t="shared" si="8"/>
        <v>0.4316817245798294</v>
      </c>
      <c r="AI19" s="60">
        <v>0.8</v>
      </c>
      <c r="AJ19" s="195">
        <v>-2283.5</v>
      </c>
      <c r="AK19" s="196">
        <v>175.5</v>
      </c>
      <c r="AL19" s="196">
        <f t="shared" si="9"/>
        <v>-2459</v>
      </c>
      <c r="AM19" s="147">
        <v>1</v>
      </c>
      <c r="AN19" s="62">
        <v>3999.1</v>
      </c>
      <c r="AO19" s="62">
        <v>4746.3</v>
      </c>
      <c r="AP19" s="63">
        <f t="shared" si="10"/>
        <v>0.8425721088005393</v>
      </c>
      <c r="AQ19" s="64">
        <v>1</v>
      </c>
      <c r="AR19" s="65">
        <f>AT19*100/AT49</f>
        <v>10.130425272989966</v>
      </c>
      <c r="AS19" s="144">
        <v>38766.96</v>
      </c>
      <c r="AT19" s="62">
        <v>38767</v>
      </c>
      <c r="AU19" s="62">
        <v>6230.9</v>
      </c>
      <c r="AV19" s="26">
        <f t="shared" si="11"/>
        <v>0.16072707274441947</v>
      </c>
      <c r="AW19" s="203">
        <v>1</v>
      </c>
      <c r="AX19" s="62">
        <v>3317.44</v>
      </c>
      <c r="AY19" s="66">
        <f t="shared" si="12"/>
        <v>82.9546647995799</v>
      </c>
      <c r="AZ19" s="66">
        <f t="shared" si="13"/>
        <v>53.241746778154045</v>
      </c>
      <c r="BA19" s="203">
        <v>1</v>
      </c>
      <c r="BB19" s="203">
        <v>1</v>
      </c>
      <c r="BC19" s="67">
        <v>13027</v>
      </c>
      <c r="BD19" s="31">
        <f t="shared" si="42"/>
        <v>2975.8931450065247</v>
      </c>
      <c r="BE19" s="63">
        <f>BD19/BD49*100%</f>
        <v>0.7685179819122894</v>
      </c>
      <c r="BF19" s="203">
        <v>0.7</v>
      </c>
      <c r="BG19" s="68">
        <f>BD19*100/BD49</f>
        <v>76.85179819122895</v>
      </c>
      <c r="BH19" s="69">
        <f t="shared" si="14"/>
        <v>105.72604410992474</v>
      </c>
      <c r="BI19" s="69">
        <f t="shared" si="15"/>
        <v>10.906415843371942</v>
      </c>
      <c r="BJ19" s="62">
        <f>4228090.23/1000</f>
        <v>4228.090230000001</v>
      </c>
      <c r="BK19" s="66">
        <f t="shared" si="16"/>
        <v>324.5636163353036</v>
      </c>
      <c r="BL19" s="58">
        <f>BK19/BK49*100%</f>
        <v>0.4748497026852395</v>
      </c>
      <c r="BM19" s="205">
        <v>0</v>
      </c>
      <c r="BN19" s="70">
        <v>0</v>
      </c>
      <c r="BO19" s="71">
        <v>0</v>
      </c>
      <c r="BP19" s="58"/>
      <c r="BQ19" s="208"/>
      <c r="BR19" s="209">
        <v>1</v>
      </c>
      <c r="BS19" s="62">
        <f>3970558.19/1000</f>
        <v>3970.5581899999997</v>
      </c>
      <c r="BT19" s="72">
        <f t="shared" si="18"/>
        <v>0.10242108468542832</v>
      </c>
      <c r="BU19" s="211">
        <f t="shared" si="19"/>
        <v>0.20484216937085664</v>
      </c>
      <c r="BV19" s="169">
        <v>4.354440767314567</v>
      </c>
      <c r="BW19" s="214">
        <f t="shared" si="20"/>
        <v>0.9564555923268543</v>
      </c>
      <c r="BX19" s="219">
        <f>3+3+2</f>
        <v>8</v>
      </c>
      <c r="BY19" s="214">
        <f t="shared" si="21"/>
        <v>0.33333333333333337</v>
      </c>
      <c r="BZ19" s="224">
        <v>0</v>
      </c>
      <c r="CA19" s="33">
        <v>1</v>
      </c>
      <c r="CB19" s="224">
        <v>0</v>
      </c>
      <c r="CC19" s="221">
        <f t="shared" si="22"/>
        <v>1</v>
      </c>
      <c r="CD19" s="225">
        <v>0</v>
      </c>
      <c r="CE19" s="223">
        <f>1-CD19/1</f>
        <v>1</v>
      </c>
      <c r="CF19" s="70"/>
      <c r="CG19" s="221">
        <f t="shared" si="23"/>
        <v>1</v>
      </c>
      <c r="CH19" s="73"/>
      <c r="CI19" s="48"/>
      <c r="CJ19" s="62">
        <v>1</v>
      </c>
      <c r="CK19" s="221">
        <f t="shared" si="24"/>
        <v>0</v>
      </c>
      <c r="CL19" s="240">
        <f t="shared" si="25"/>
        <v>9</v>
      </c>
      <c r="CM19" s="221">
        <f t="shared" si="26"/>
        <v>0.55</v>
      </c>
      <c r="CN19" s="74"/>
      <c r="CO19" s="48">
        <f t="shared" si="27"/>
        <v>1</v>
      </c>
      <c r="CP19" s="66"/>
      <c r="CQ19" s="66">
        <f t="shared" si="28"/>
        <v>1</v>
      </c>
      <c r="CR19" s="224">
        <v>1</v>
      </c>
      <c r="CS19" s="209">
        <f t="shared" si="29"/>
        <v>0.6666666666666667</v>
      </c>
      <c r="CT19" s="224">
        <v>0</v>
      </c>
      <c r="CU19" s="33">
        <f t="shared" si="30"/>
        <v>1</v>
      </c>
      <c r="CV19" s="219">
        <v>3</v>
      </c>
      <c r="CW19" s="239">
        <f t="shared" si="31"/>
        <v>0.4</v>
      </c>
      <c r="CX19" s="219">
        <f>2+3+2+1</f>
        <v>8</v>
      </c>
      <c r="CY19" s="239">
        <f t="shared" si="32"/>
        <v>0.2727272727272727</v>
      </c>
      <c r="CZ19" s="219">
        <v>4</v>
      </c>
      <c r="DA19" s="214">
        <f t="shared" si="33"/>
        <v>0.5</v>
      </c>
      <c r="DB19" s="240">
        <f t="shared" si="34"/>
        <v>16</v>
      </c>
      <c r="DC19" s="239">
        <f t="shared" si="35"/>
        <v>0.40740740740740744</v>
      </c>
      <c r="DD19" s="252">
        <v>0</v>
      </c>
      <c r="DE19" s="253">
        <v>1</v>
      </c>
      <c r="DF19" s="224">
        <v>7</v>
      </c>
      <c r="DG19" s="251">
        <f t="shared" si="36"/>
        <v>0.5</v>
      </c>
      <c r="DH19" s="70">
        <v>7</v>
      </c>
      <c r="DI19" s="209">
        <f t="shared" si="37"/>
        <v>0.8444444444444444</v>
      </c>
      <c r="DJ19" s="62">
        <v>0</v>
      </c>
      <c r="DK19" s="253">
        <v>1</v>
      </c>
      <c r="DL19" s="224">
        <v>4</v>
      </c>
      <c r="DM19" s="260">
        <v>0.3</v>
      </c>
      <c r="DN19" s="220">
        <f t="shared" si="38"/>
        <v>18</v>
      </c>
      <c r="DO19" s="259">
        <f t="shared" si="39"/>
        <v>0.7096774193548387</v>
      </c>
      <c r="DP19" s="175">
        <v>717</v>
      </c>
      <c r="DQ19" s="166">
        <f>1-DP19/(2389)*100/100</f>
        <v>0.6998744244453746</v>
      </c>
      <c r="DR19" s="66">
        <v>3</v>
      </c>
      <c r="DS19" s="28">
        <f t="shared" si="40"/>
        <v>0.25</v>
      </c>
      <c r="DT19" s="45">
        <v>1</v>
      </c>
      <c r="DU19" s="28">
        <v>1</v>
      </c>
      <c r="DV19" s="75"/>
      <c r="DW19" s="45">
        <v>0</v>
      </c>
      <c r="DX19" s="28">
        <v>0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50">
        <f t="shared" si="41"/>
        <v>22.28579767269808</v>
      </c>
      <c r="EQ19" s="24">
        <v>7</v>
      </c>
      <c r="ER19" s="53" t="s">
        <v>117</v>
      </c>
    </row>
    <row r="20" spans="1:148" s="54" customFormat="1" ht="18.75">
      <c r="A20" s="55">
        <f t="shared" si="0"/>
        <v>11</v>
      </c>
      <c r="B20" s="324" t="s">
        <v>128</v>
      </c>
      <c r="C20" s="57">
        <v>0</v>
      </c>
      <c r="D20" s="158">
        <v>1</v>
      </c>
      <c r="E20" s="57">
        <v>0</v>
      </c>
      <c r="F20" s="158">
        <v>1</v>
      </c>
      <c r="G20" s="189">
        <v>4545.88</v>
      </c>
      <c r="H20" s="185">
        <v>7173.12442</v>
      </c>
      <c r="I20" s="58">
        <f t="shared" si="1"/>
        <v>-0.5779396772462098</v>
      </c>
      <c r="J20" s="151">
        <v>0</v>
      </c>
      <c r="K20" s="189">
        <v>7173.12442</v>
      </c>
      <c r="L20" s="185">
        <v>12318.67832</v>
      </c>
      <c r="M20" s="58">
        <f t="shared" si="2"/>
        <v>0.5822965933247942</v>
      </c>
      <c r="N20" s="59">
        <v>0.8</v>
      </c>
      <c r="O20" s="189">
        <v>7173.12442</v>
      </c>
      <c r="P20" s="185">
        <v>6167.0933</v>
      </c>
      <c r="Q20" s="58">
        <f t="shared" si="3"/>
        <v>1.1631288957473693</v>
      </c>
      <c r="R20" s="28">
        <v>1</v>
      </c>
      <c r="S20" s="189">
        <v>7173.12442</v>
      </c>
      <c r="T20" s="185">
        <v>4124.98602</v>
      </c>
      <c r="U20" s="61">
        <f t="shared" si="4"/>
        <v>1.7389451467765216</v>
      </c>
      <c r="V20" s="155">
        <v>1</v>
      </c>
      <c r="W20" s="189">
        <v>1689.0246</v>
      </c>
      <c r="X20" s="185">
        <v>2458.5081</v>
      </c>
      <c r="Y20" s="61">
        <f t="shared" si="5"/>
        <v>1.4555786221230882</v>
      </c>
      <c r="Z20" s="155">
        <v>0</v>
      </c>
      <c r="AA20" s="189">
        <v>2458.5081</v>
      </c>
      <c r="AB20" s="185">
        <v>4624.8495</v>
      </c>
      <c r="AC20" s="61">
        <f t="shared" si="6"/>
        <v>0.5315866170347813</v>
      </c>
      <c r="AD20" s="181">
        <f t="shared" si="7"/>
        <v>0.4684133829652187</v>
      </c>
      <c r="AE20" s="184">
        <v>5145.5539</v>
      </c>
      <c r="AF20" s="185">
        <v>12318.67832</v>
      </c>
      <c r="AG20" s="185">
        <v>154.56</v>
      </c>
      <c r="AH20" s="58">
        <f t="shared" si="8"/>
        <v>0.4230108393092315</v>
      </c>
      <c r="AI20" s="60">
        <v>0.8</v>
      </c>
      <c r="AJ20" s="195">
        <v>1235.9</v>
      </c>
      <c r="AK20" s="196">
        <v>1119.6</v>
      </c>
      <c r="AL20" s="196">
        <f t="shared" si="9"/>
        <v>116.30000000000018</v>
      </c>
      <c r="AM20" s="147">
        <v>0</v>
      </c>
      <c r="AN20" s="62">
        <v>2502</v>
      </c>
      <c r="AO20" s="62">
        <v>2638.2</v>
      </c>
      <c r="AP20" s="63">
        <f t="shared" si="10"/>
        <v>0.9483738912895157</v>
      </c>
      <c r="AQ20" s="64">
        <v>1</v>
      </c>
      <c r="AR20" s="65">
        <f>AT20*100/AT46</f>
        <v>3.2400009511891037</v>
      </c>
      <c r="AS20" s="144">
        <v>12398.81</v>
      </c>
      <c r="AT20" s="62">
        <v>12398.8</v>
      </c>
      <c r="AU20" s="62">
        <v>4561.4</v>
      </c>
      <c r="AV20" s="26">
        <f t="shared" si="11"/>
        <v>0.36789014429610584</v>
      </c>
      <c r="AW20" s="203">
        <v>1</v>
      </c>
      <c r="AX20" s="62">
        <v>2247.42</v>
      </c>
      <c r="AY20" s="66">
        <f t="shared" si="12"/>
        <v>89.82494004796163</v>
      </c>
      <c r="AZ20" s="66">
        <f t="shared" si="13"/>
        <v>49.270399438768806</v>
      </c>
      <c r="BA20" s="203">
        <v>0</v>
      </c>
      <c r="BB20" s="203">
        <v>1</v>
      </c>
      <c r="BC20" s="67">
        <v>3082</v>
      </c>
      <c r="BD20" s="31">
        <f t="shared" si="42"/>
        <v>4022.975340687865</v>
      </c>
      <c r="BE20" s="63">
        <f>BD20/BD33*100%</f>
        <v>0.5575951600913465</v>
      </c>
      <c r="BF20" s="203">
        <v>1</v>
      </c>
      <c r="BG20" s="68">
        <f>BD20*100/BD46</f>
        <v>103.89246990592346</v>
      </c>
      <c r="BH20" s="69">
        <f t="shared" si="14"/>
        <v>37.15310711430855</v>
      </c>
      <c r="BI20" s="69">
        <f t="shared" si="15"/>
        <v>7.497263767461367</v>
      </c>
      <c r="BJ20" s="62">
        <f>929570.74/1000</f>
        <v>929.57074</v>
      </c>
      <c r="BK20" s="66">
        <f t="shared" si="16"/>
        <v>301.6128293316028</v>
      </c>
      <c r="BL20" s="58">
        <f>BK20/BK33*100%</f>
        <v>0.3686075300211251</v>
      </c>
      <c r="BM20" s="205">
        <v>0</v>
      </c>
      <c r="BN20" s="70">
        <v>143.2</v>
      </c>
      <c r="BO20" s="71">
        <v>65.51</v>
      </c>
      <c r="BP20" s="58">
        <f>BO20/(BN20+BO20)</f>
        <v>0.31388050404868006</v>
      </c>
      <c r="BQ20" s="208">
        <v>1</v>
      </c>
      <c r="BR20" s="209">
        <v>1</v>
      </c>
      <c r="BS20" s="62">
        <f>72609.63/1000</f>
        <v>72.60963000000001</v>
      </c>
      <c r="BT20" s="72">
        <f t="shared" si="18"/>
        <v>0.005856182049875796</v>
      </c>
      <c r="BU20" s="211">
        <f t="shared" si="19"/>
        <v>0.011712364099751592</v>
      </c>
      <c r="BV20" s="169">
        <v>0</v>
      </c>
      <c r="BW20" s="214">
        <f t="shared" si="20"/>
        <v>1</v>
      </c>
      <c r="BX20" s="219">
        <f>3+1+1</f>
        <v>5</v>
      </c>
      <c r="BY20" s="214">
        <f t="shared" si="21"/>
        <v>0.5833333333333333</v>
      </c>
      <c r="BZ20" s="224">
        <v>1</v>
      </c>
      <c r="CA20" s="33">
        <v>0</v>
      </c>
      <c r="CB20" s="224">
        <v>4</v>
      </c>
      <c r="CC20" s="221">
        <f t="shared" si="22"/>
        <v>0</v>
      </c>
      <c r="CD20" s="225">
        <v>1</v>
      </c>
      <c r="CE20" s="223">
        <v>0.5</v>
      </c>
      <c r="CF20" s="70">
        <v>1</v>
      </c>
      <c r="CG20" s="221">
        <f t="shared" si="23"/>
        <v>0</v>
      </c>
      <c r="CH20" s="73"/>
      <c r="CI20" s="48"/>
      <c r="CJ20" s="31"/>
      <c r="CK20" s="221">
        <f t="shared" si="24"/>
        <v>1</v>
      </c>
      <c r="CL20" s="240">
        <f t="shared" si="25"/>
        <v>12</v>
      </c>
      <c r="CM20" s="221">
        <f t="shared" si="26"/>
        <v>0.4</v>
      </c>
      <c r="CN20" s="74"/>
      <c r="CO20" s="48">
        <f t="shared" si="27"/>
        <v>1</v>
      </c>
      <c r="CP20" s="66"/>
      <c r="CQ20" s="66">
        <f t="shared" si="28"/>
        <v>1</v>
      </c>
      <c r="CR20" s="224">
        <v>1</v>
      </c>
      <c r="CS20" s="209">
        <f t="shared" si="29"/>
        <v>0.6666666666666667</v>
      </c>
      <c r="CT20" s="224">
        <v>0</v>
      </c>
      <c r="CU20" s="33">
        <f t="shared" si="30"/>
        <v>1</v>
      </c>
      <c r="CV20" s="219">
        <v>2</v>
      </c>
      <c r="CW20" s="239">
        <f t="shared" si="31"/>
        <v>0.6</v>
      </c>
      <c r="CX20" s="219">
        <f>2+3+1+1</f>
        <v>7</v>
      </c>
      <c r="CY20" s="239">
        <f t="shared" si="32"/>
        <v>0.36363636363636365</v>
      </c>
      <c r="CZ20" s="219">
        <v>0</v>
      </c>
      <c r="DA20" s="214">
        <f t="shared" si="33"/>
        <v>1</v>
      </c>
      <c r="DB20" s="240">
        <f t="shared" si="34"/>
        <v>10</v>
      </c>
      <c r="DC20" s="239">
        <f t="shared" si="35"/>
        <v>0.6296296296296297</v>
      </c>
      <c r="DD20" s="252">
        <v>0</v>
      </c>
      <c r="DE20" s="253">
        <v>1</v>
      </c>
      <c r="DF20" s="224">
        <v>7</v>
      </c>
      <c r="DG20" s="251">
        <f t="shared" si="36"/>
        <v>0.5</v>
      </c>
      <c r="DH20" s="70">
        <v>4</v>
      </c>
      <c r="DI20" s="209">
        <f t="shared" si="37"/>
        <v>0.9111111111111111</v>
      </c>
      <c r="DJ20" s="62">
        <v>1</v>
      </c>
      <c r="DK20" s="253">
        <v>0</v>
      </c>
      <c r="DL20" s="224">
        <v>2</v>
      </c>
      <c r="DM20" s="260">
        <v>0.6666666666666667</v>
      </c>
      <c r="DN20" s="220">
        <f t="shared" si="38"/>
        <v>14</v>
      </c>
      <c r="DO20" s="259">
        <f t="shared" si="39"/>
        <v>0.7741935483870968</v>
      </c>
      <c r="DP20" s="175">
        <v>172</v>
      </c>
      <c r="DQ20" s="166">
        <f>1-DP20/(1722)*100/100</f>
        <v>0.9001161440185831</v>
      </c>
      <c r="DR20" s="66">
        <v>2</v>
      </c>
      <c r="DS20" s="28">
        <f t="shared" si="40"/>
        <v>0.5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325">
        <f t="shared" si="41"/>
        <v>21.28406506910028</v>
      </c>
      <c r="EQ20" s="326">
        <v>20</v>
      </c>
      <c r="ER20" s="370" t="s">
        <v>116</v>
      </c>
    </row>
    <row r="21" spans="1:148" s="54" customFormat="1" ht="18.75">
      <c r="A21" s="55">
        <f t="shared" si="0"/>
        <v>12</v>
      </c>
      <c r="B21" s="56" t="s">
        <v>129</v>
      </c>
      <c r="C21" s="57">
        <v>0</v>
      </c>
      <c r="D21" s="158">
        <v>1</v>
      </c>
      <c r="E21" s="57">
        <v>0</v>
      </c>
      <c r="F21" s="158">
        <v>1</v>
      </c>
      <c r="G21" s="189">
        <v>6275</v>
      </c>
      <c r="H21" s="185">
        <v>5428.92876</v>
      </c>
      <c r="I21" s="58">
        <f t="shared" si="1"/>
        <v>0.13483207011952195</v>
      </c>
      <c r="J21" s="151">
        <v>0.3</v>
      </c>
      <c r="K21" s="189">
        <v>5428.92876</v>
      </c>
      <c r="L21" s="185">
        <v>15077.94724</v>
      </c>
      <c r="M21" s="58">
        <f t="shared" si="2"/>
        <v>0.36005755117630983</v>
      </c>
      <c r="N21" s="59">
        <v>0.5</v>
      </c>
      <c r="O21" s="189">
        <v>5428.92876</v>
      </c>
      <c r="P21" s="185">
        <v>4726.30064</v>
      </c>
      <c r="Q21" s="58">
        <f t="shared" si="3"/>
        <v>1.1486634417737758</v>
      </c>
      <c r="R21" s="28">
        <v>1</v>
      </c>
      <c r="S21" s="189">
        <v>5428.92876</v>
      </c>
      <c r="T21" s="185">
        <v>3191.11332</v>
      </c>
      <c r="U21" s="61">
        <f t="shared" si="4"/>
        <v>1.7012647987066782</v>
      </c>
      <c r="V21" s="155">
        <v>1</v>
      </c>
      <c r="W21" s="189">
        <v>377.3116</v>
      </c>
      <c r="X21" s="185">
        <v>424.1497</v>
      </c>
      <c r="Y21" s="61">
        <f t="shared" si="5"/>
        <v>1.1241363901878447</v>
      </c>
      <c r="Z21" s="155">
        <v>0</v>
      </c>
      <c r="AA21" s="189">
        <v>424.1497</v>
      </c>
      <c r="AB21" s="185">
        <v>4601.91146</v>
      </c>
      <c r="AC21" s="61">
        <f t="shared" si="6"/>
        <v>0.09216815744647117</v>
      </c>
      <c r="AD21" s="181">
        <f t="shared" si="7"/>
        <v>0.9078318425535288</v>
      </c>
      <c r="AE21" s="184">
        <v>9649.01848</v>
      </c>
      <c r="AF21" s="185">
        <v>15077.94724</v>
      </c>
      <c r="AG21" s="185">
        <v>230</v>
      </c>
      <c r="AH21" s="58">
        <f t="shared" si="8"/>
        <v>0.649855385666093</v>
      </c>
      <c r="AI21" s="60">
        <v>0.5</v>
      </c>
      <c r="AJ21" s="195">
        <v>7.5</v>
      </c>
      <c r="AK21" s="196">
        <v>438.4</v>
      </c>
      <c r="AL21" s="196">
        <f t="shared" si="9"/>
        <v>-430.9</v>
      </c>
      <c r="AM21" s="147">
        <v>1</v>
      </c>
      <c r="AN21" s="62">
        <v>2301.6</v>
      </c>
      <c r="AO21" s="62">
        <v>3100.6</v>
      </c>
      <c r="AP21" s="63">
        <f t="shared" si="10"/>
        <v>0.7423079403986325</v>
      </c>
      <c r="AQ21" s="64">
        <v>1</v>
      </c>
      <c r="AR21" s="65">
        <f>AT21*100/AT48</f>
        <v>3.628237668708674</v>
      </c>
      <c r="AS21" s="144">
        <v>13884.46</v>
      </c>
      <c r="AT21" s="62">
        <v>13884.5</v>
      </c>
      <c r="AU21" s="62">
        <v>6503.8</v>
      </c>
      <c r="AV21" s="26">
        <f t="shared" si="11"/>
        <v>0.46842297071690225</v>
      </c>
      <c r="AW21" s="203">
        <v>1</v>
      </c>
      <c r="AX21" s="62">
        <v>2258.79</v>
      </c>
      <c r="AY21" s="66">
        <f t="shared" si="12"/>
        <v>98.13998957247132</v>
      </c>
      <c r="AZ21" s="66">
        <f t="shared" si="13"/>
        <v>34.73031151019404</v>
      </c>
      <c r="BA21" s="203">
        <v>0</v>
      </c>
      <c r="BB21" s="203">
        <v>1</v>
      </c>
      <c r="BC21" s="67">
        <v>4344</v>
      </c>
      <c r="BD21" s="31">
        <f t="shared" si="42"/>
        <v>3196.2384898710866</v>
      </c>
      <c r="BE21" s="63">
        <f>BD21/BD51*100%</f>
        <v>0.8254216916584636</v>
      </c>
      <c r="BF21" s="203">
        <v>0.8</v>
      </c>
      <c r="BG21" s="68">
        <f>BD21*100/BD48</f>
        <v>82.54216916584636</v>
      </c>
      <c r="BH21" s="69">
        <f t="shared" si="14"/>
        <v>158.001913451512</v>
      </c>
      <c r="BI21" s="69">
        <f t="shared" si="15"/>
        <v>26.191595232093345</v>
      </c>
      <c r="BJ21" s="62">
        <f>3636572.04/1000</f>
        <v>3636.57204</v>
      </c>
      <c r="BK21" s="66">
        <f t="shared" si="16"/>
        <v>837.1482596685083</v>
      </c>
      <c r="BL21" s="58">
        <f>BK21/BK51*100%</f>
        <v>1.22478177528187</v>
      </c>
      <c r="BM21" s="205">
        <v>1</v>
      </c>
      <c r="BN21" s="70">
        <v>1246.7</v>
      </c>
      <c r="BO21" s="71">
        <v>128.08</v>
      </c>
      <c r="BP21" s="58">
        <f>BO21/(BN21+BO21)</f>
        <v>0.0931639971486347</v>
      </c>
      <c r="BQ21" s="208">
        <v>1</v>
      </c>
      <c r="BR21" s="209">
        <v>1</v>
      </c>
      <c r="BS21" s="62">
        <f>143700/1000</f>
        <v>143.7</v>
      </c>
      <c r="BT21" s="72">
        <f t="shared" si="18"/>
        <v>0.010349670495876696</v>
      </c>
      <c r="BU21" s="211">
        <f t="shared" si="19"/>
        <v>0.02069934099175339</v>
      </c>
      <c r="BV21" s="169">
        <v>0</v>
      </c>
      <c r="BW21" s="214">
        <f t="shared" si="20"/>
        <v>1</v>
      </c>
      <c r="BX21" s="219">
        <f>3+2+2</f>
        <v>7</v>
      </c>
      <c r="BY21" s="214">
        <f t="shared" si="21"/>
        <v>0.41666666666666663</v>
      </c>
      <c r="BZ21" s="224">
        <v>0</v>
      </c>
      <c r="CA21" s="33">
        <v>1</v>
      </c>
      <c r="CB21" s="224">
        <v>1</v>
      </c>
      <c r="CC21" s="221">
        <f t="shared" si="22"/>
        <v>0.75</v>
      </c>
      <c r="CD21" s="225">
        <v>0</v>
      </c>
      <c r="CE21" s="223">
        <f>1-CD21/1</f>
        <v>1</v>
      </c>
      <c r="CF21" s="70">
        <v>1</v>
      </c>
      <c r="CG21" s="221">
        <f t="shared" si="23"/>
        <v>0</v>
      </c>
      <c r="CH21" s="73"/>
      <c r="CI21" s="48"/>
      <c r="CJ21" s="31">
        <v>1</v>
      </c>
      <c r="CK21" s="221">
        <f t="shared" si="24"/>
        <v>0</v>
      </c>
      <c r="CL21" s="240">
        <f t="shared" si="25"/>
        <v>10</v>
      </c>
      <c r="CM21" s="221">
        <f t="shared" si="26"/>
        <v>0.5</v>
      </c>
      <c r="CN21" s="74"/>
      <c r="CO21" s="48">
        <f t="shared" si="27"/>
        <v>1</v>
      </c>
      <c r="CP21" s="66"/>
      <c r="CQ21" s="66">
        <f t="shared" si="28"/>
        <v>1</v>
      </c>
      <c r="CR21" s="224">
        <v>0</v>
      </c>
      <c r="CS21" s="209">
        <f t="shared" si="29"/>
        <v>1</v>
      </c>
      <c r="CT21" s="224">
        <v>0</v>
      </c>
      <c r="CU21" s="33">
        <f t="shared" si="30"/>
        <v>1</v>
      </c>
      <c r="CV21" s="219">
        <v>3</v>
      </c>
      <c r="CW21" s="239">
        <f t="shared" si="31"/>
        <v>0.4</v>
      </c>
      <c r="CX21" s="219">
        <f>4+2+1+3</f>
        <v>10</v>
      </c>
      <c r="CY21" s="239">
        <f t="shared" si="32"/>
        <v>0.09090909090909094</v>
      </c>
      <c r="CZ21" s="219">
        <v>6</v>
      </c>
      <c r="DA21" s="214">
        <f t="shared" si="33"/>
        <v>0.25</v>
      </c>
      <c r="DB21" s="240">
        <f t="shared" si="34"/>
        <v>19</v>
      </c>
      <c r="DC21" s="239">
        <f t="shared" si="35"/>
        <v>0.2962962962962963</v>
      </c>
      <c r="DD21" s="252">
        <v>1</v>
      </c>
      <c r="DE21" s="253">
        <v>0.5</v>
      </c>
      <c r="DF21" s="224">
        <v>3</v>
      </c>
      <c r="DG21" s="251">
        <f t="shared" si="36"/>
        <v>0.7857142857142857</v>
      </c>
      <c r="DH21" s="70">
        <v>7</v>
      </c>
      <c r="DI21" s="209">
        <f t="shared" si="37"/>
        <v>0.8444444444444444</v>
      </c>
      <c r="DJ21" s="62">
        <v>1</v>
      </c>
      <c r="DK21" s="253">
        <v>0</v>
      </c>
      <c r="DL21" s="224">
        <v>5</v>
      </c>
      <c r="DM21" s="260">
        <v>0.16</v>
      </c>
      <c r="DN21" s="220">
        <f t="shared" si="38"/>
        <v>17</v>
      </c>
      <c r="DO21" s="259">
        <f t="shared" si="39"/>
        <v>0.7258064516129032</v>
      </c>
      <c r="DP21" s="175">
        <v>98</v>
      </c>
      <c r="DQ21" s="166">
        <f>1-DP21/(977)*100/100</f>
        <v>0.8996929375639713</v>
      </c>
      <c r="DR21" s="66">
        <v>1</v>
      </c>
      <c r="DS21" s="28">
        <f t="shared" si="40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50">
        <f t="shared" si="41"/>
        <v>23.200326869018454</v>
      </c>
      <c r="EQ21" s="24">
        <v>4</v>
      </c>
      <c r="ER21" s="53" t="s">
        <v>117</v>
      </c>
    </row>
    <row r="22" spans="1:148" s="54" customFormat="1" ht="18.75">
      <c r="A22" s="55">
        <f t="shared" si="0"/>
        <v>13</v>
      </c>
      <c r="B22" s="56" t="s">
        <v>130</v>
      </c>
      <c r="C22" s="57">
        <v>0</v>
      </c>
      <c r="D22" s="158">
        <v>1</v>
      </c>
      <c r="E22" s="57">
        <v>0</v>
      </c>
      <c r="F22" s="158">
        <v>1</v>
      </c>
      <c r="G22" s="189">
        <v>6060.7</v>
      </c>
      <c r="H22" s="185">
        <v>6864.67329</v>
      </c>
      <c r="I22" s="58">
        <f t="shared" si="1"/>
        <v>-0.13265353672018082</v>
      </c>
      <c r="J22" s="151">
        <v>0.3</v>
      </c>
      <c r="K22" s="189">
        <v>6864.67329</v>
      </c>
      <c r="L22" s="185">
        <v>10470.55849</v>
      </c>
      <c r="M22" s="58">
        <f t="shared" si="2"/>
        <v>0.6556167272792723</v>
      </c>
      <c r="N22" s="59">
        <v>0.8</v>
      </c>
      <c r="O22" s="189">
        <v>6864.67329</v>
      </c>
      <c r="P22" s="185">
        <v>6360.77329</v>
      </c>
      <c r="Q22" s="58">
        <f t="shared" si="3"/>
        <v>1.079219927676435</v>
      </c>
      <c r="R22" s="28">
        <v>1</v>
      </c>
      <c r="S22" s="189">
        <v>6864.67329</v>
      </c>
      <c r="T22" s="185">
        <v>5950.83075</v>
      </c>
      <c r="U22" s="61">
        <f t="shared" si="4"/>
        <v>1.1535655404079506</v>
      </c>
      <c r="V22" s="155">
        <v>1</v>
      </c>
      <c r="W22" s="189">
        <v>611.9462</v>
      </c>
      <c r="X22" s="185">
        <v>2070.5514</v>
      </c>
      <c r="Y22" s="61">
        <f t="shared" si="5"/>
        <v>3.3835513644826944</v>
      </c>
      <c r="Z22" s="155">
        <v>0</v>
      </c>
      <c r="AA22" s="189">
        <v>2070.5514</v>
      </c>
      <c r="AB22" s="185">
        <v>6017.53803</v>
      </c>
      <c r="AC22" s="61">
        <f t="shared" si="6"/>
        <v>0.34408613450840125</v>
      </c>
      <c r="AD22" s="181">
        <f t="shared" si="7"/>
        <v>0.6559138654915988</v>
      </c>
      <c r="AE22" s="184">
        <v>3605.8852</v>
      </c>
      <c r="AF22" s="185">
        <v>10470.55849</v>
      </c>
      <c r="AG22" s="185">
        <v>138.46</v>
      </c>
      <c r="AH22" s="58">
        <f t="shared" si="8"/>
        <v>0.34899833789718354</v>
      </c>
      <c r="AI22" s="60">
        <v>0.8</v>
      </c>
      <c r="AJ22" s="195">
        <v>2541.5</v>
      </c>
      <c r="AK22" s="196">
        <v>-517.8</v>
      </c>
      <c r="AL22" s="196">
        <f t="shared" si="9"/>
        <v>3059.3</v>
      </c>
      <c r="AM22" s="147">
        <v>0</v>
      </c>
      <c r="AN22" s="62">
        <v>2166</v>
      </c>
      <c r="AO22" s="62">
        <v>2572.5</v>
      </c>
      <c r="AP22" s="63">
        <f t="shared" si="10"/>
        <v>0.8419825072886298</v>
      </c>
      <c r="AQ22" s="64">
        <v>1</v>
      </c>
      <c r="AR22" s="65">
        <f>AT22*100/AT52</f>
        <v>3.211700462189057</v>
      </c>
      <c r="AS22" s="144">
        <v>12290.45</v>
      </c>
      <c r="AT22" s="62">
        <v>12290.5</v>
      </c>
      <c r="AU22" s="62">
        <v>4132.4</v>
      </c>
      <c r="AV22" s="26">
        <f t="shared" si="11"/>
        <v>0.33622853516348056</v>
      </c>
      <c r="AW22" s="203">
        <v>1</v>
      </c>
      <c r="AX22" s="62">
        <v>2164.17</v>
      </c>
      <c r="AY22" s="66">
        <f t="shared" si="12"/>
        <v>99.91551246537396</v>
      </c>
      <c r="AZ22" s="66">
        <f t="shared" si="13"/>
        <v>52.3707772722873</v>
      </c>
      <c r="BA22" s="203">
        <v>0</v>
      </c>
      <c r="BB22" s="203">
        <v>1</v>
      </c>
      <c r="BC22" s="67">
        <v>2789</v>
      </c>
      <c r="BD22" s="31">
        <f t="shared" si="42"/>
        <v>4406.758694872714</v>
      </c>
      <c r="BE22" s="63">
        <f>BD22/BD55*100%</f>
        <v>1.1380359219687597</v>
      </c>
      <c r="BF22" s="203">
        <v>1</v>
      </c>
      <c r="BG22" s="68">
        <f>BD22*100/BD52</f>
        <v>113.80359219687598</v>
      </c>
      <c r="BH22" s="69">
        <f t="shared" si="14"/>
        <v>64.66352585410895</v>
      </c>
      <c r="BI22" s="69">
        <f t="shared" si="15"/>
        <v>11.395890891338837</v>
      </c>
      <c r="BJ22" s="62">
        <f>1400611.97/1000</f>
        <v>1400.61197</v>
      </c>
      <c r="BK22" s="66">
        <f t="shared" si="16"/>
        <v>502.19145571889567</v>
      </c>
      <c r="BL22" s="58">
        <f>BK22/BK55*100%</f>
        <v>0.7347264186039535</v>
      </c>
      <c r="BM22" s="205">
        <v>0</v>
      </c>
      <c r="BN22" s="70">
        <v>0</v>
      </c>
      <c r="BO22" s="71">
        <v>0</v>
      </c>
      <c r="BP22" s="58"/>
      <c r="BQ22" s="208"/>
      <c r="BR22" s="209">
        <v>1</v>
      </c>
      <c r="BS22" s="62">
        <f>1082831.78/1000</f>
        <v>1082.83178</v>
      </c>
      <c r="BT22" s="72">
        <f t="shared" si="18"/>
        <v>0.08810315121435254</v>
      </c>
      <c r="BU22" s="211">
        <f t="shared" si="19"/>
        <v>0.17620630242870508</v>
      </c>
      <c r="BV22" s="169">
        <v>0</v>
      </c>
      <c r="BW22" s="214">
        <f t="shared" si="20"/>
        <v>1</v>
      </c>
      <c r="BX22" s="219">
        <f>2+1+1</f>
        <v>4</v>
      </c>
      <c r="BY22" s="214">
        <f t="shared" si="21"/>
        <v>0.6666666666666667</v>
      </c>
      <c r="BZ22" s="224">
        <v>0</v>
      </c>
      <c r="CA22" s="33">
        <v>1</v>
      </c>
      <c r="CB22" s="224">
        <v>0</v>
      </c>
      <c r="CC22" s="221">
        <f t="shared" si="22"/>
        <v>1</v>
      </c>
      <c r="CD22" s="225">
        <v>0</v>
      </c>
      <c r="CE22" s="223">
        <f>1-CD22/1</f>
        <v>1</v>
      </c>
      <c r="CF22" s="70"/>
      <c r="CG22" s="221">
        <f t="shared" si="23"/>
        <v>1</v>
      </c>
      <c r="CH22" s="73"/>
      <c r="CI22" s="48"/>
      <c r="CJ22" s="31">
        <v>1</v>
      </c>
      <c r="CK22" s="221">
        <f t="shared" si="24"/>
        <v>0</v>
      </c>
      <c r="CL22" s="240">
        <f t="shared" si="25"/>
        <v>5</v>
      </c>
      <c r="CM22" s="221">
        <f t="shared" si="26"/>
        <v>0.75</v>
      </c>
      <c r="CN22" s="74"/>
      <c r="CO22" s="48">
        <f t="shared" si="27"/>
        <v>1</v>
      </c>
      <c r="CP22" s="66"/>
      <c r="CQ22" s="66">
        <f t="shared" si="28"/>
        <v>1</v>
      </c>
      <c r="CR22" s="224">
        <v>2</v>
      </c>
      <c r="CS22" s="209">
        <f t="shared" si="29"/>
        <v>0.33333333333333337</v>
      </c>
      <c r="CT22" s="224">
        <v>1</v>
      </c>
      <c r="CU22" s="33">
        <f t="shared" si="30"/>
        <v>0.5</v>
      </c>
      <c r="CV22" s="219">
        <v>5</v>
      </c>
      <c r="CW22" s="239">
        <f t="shared" si="31"/>
        <v>0</v>
      </c>
      <c r="CX22" s="219">
        <f>2+4+1+2</f>
        <v>9</v>
      </c>
      <c r="CY22" s="239">
        <f t="shared" si="32"/>
        <v>0.18181818181818177</v>
      </c>
      <c r="CZ22" s="219">
        <v>2</v>
      </c>
      <c r="DA22" s="214">
        <f t="shared" si="33"/>
        <v>0.75</v>
      </c>
      <c r="DB22" s="240">
        <f t="shared" si="34"/>
        <v>19</v>
      </c>
      <c r="DC22" s="239">
        <f t="shared" si="35"/>
        <v>0.2962962962962963</v>
      </c>
      <c r="DD22" s="252">
        <v>2</v>
      </c>
      <c r="DE22" s="253">
        <v>0</v>
      </c>
      <c r="DF22" s="224">
        <v>10</v>
      </c>
      <c r="DG22" s="251">
        <f t="shared" si="36"/>
        <v>0.2857142857142857</v>
      </c>
      <c r="DH22" s="70">
        <v>4</v>
      </c>
      <c r="DI22" s="209">
        <f t="shared" si="37"/>
        <v>0.9111111111111111</v>
      </c>
      <c r="DJ22" s="62">
        <v>0</v>
      </c>
      <c r="DK22" s="253">
        <v>1</v>
      </c>
      <c r="DL22" s="224">
        <v>5</v>
      </c>
      <c r="DM22" s="260">
        <v>0.5</v>
      </c>
      <c r="DN22" s="220">
        <f t="shared" si="38"/>
        <v>21</v>
      </c>
      <c r="DO22" s="259">
        <f t="shared" si="39"/>
        <v>0.6612903225806452</v>
      </c>
      <c r="DP22" s="175">
        <v>620</v>
      </c>
      <c r="DQ22" s="166">
        <f>1-DP22/(1259)*100/100</f>
        <v>0.5075456711675933</v>
      </c>
      <c r="DR22" s="66">
        <v>3</v>
      </c>
      <c r="DS22" s="28">
        <f t="shared" si="40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50">
        <f t="shared" si="41"/>
        <v>21.197252457964836</v>
      </c>
      <c r="EQ22" s="24">
        <v>15</v>
      </c>
      <c r="ER22" s="53" t="s">
        <v>117</v>
      </c>
    </row>
    <row r="23" spans="1:148" s="54" customFormat="1" ht="18.75">
      <c r="A23" s="55">
        <f t="shared" si="0"/>
        <v>14</v>
      </c>
      <c r="B23" s="56" t="s">
        <v>131</v>
      </c>
      <c r="C23" s="57">
        <v>0</v>
      </c>
      <c r="D23" s="158">
        <v>1</v>
      </c>
      <c r="E23" s="57">
        <v>0</v>
      </c>
      <c r="F23" s="158">
        <v>1</v>
      </c>
      <c r="G23" s="189">
        <v>9575.8</v>
      </c>
      <c r="H23" s="185">
        <v>6712.00074</v>
      </c>
      <c r="I23" s="58">
        <f t="shared" si="1"/>
        <v>0.2990663192631424</v>
      </c>
      <c r="J23" s="151">
        <v>0</v>
      </c>
      <c r="K23" s="189">
        <v>6712.00074</v>
      </c>
      <c r="L23" s="185">
        <v>16196.11282</v>
      </c>
      <c r="M23" s="58">
        <f t="shared" si="2"/>
        <v>0.4144204732700794</v>
      </c>
      <c r="N23" s="59">
        <v>0.5</v>
      </c>
      <c r="O23" s="189">
        <v>6712.00074</v>
      </c>
      <c r="P23" s="185">
        <v>6905.58673</v>
      </c>
      <c r="Q23" s="58">
        <f t="shared" si="3"/>
        <v>0.9719667571244884</v>
      </c>
      <c r="R23" s="28">
        <v>1</v>
      </c>
      <c r="S23" s="189">
        <v>6712.00074</v>
      </c>
      <c r="T23" s="185">
        <v>4122.30338</v>
      </c>
      <c r="U23" s="61">
        <f t="shared" si="4"/>
        <v>1.6282161018435282</v>
      </c>
      <c r="V23" s="155">
        <v>1</v>
      </c>
      <c r="W23" s="189">
        <v>2484.6646</v>
      </c>
      <c r="X23" s="185">
        <v>1136.4411</v>
      </c>
      <c r="Y23" s="61">
        <f t="shared" si="5"/>
        <v>0.4573820949515681</v>
      </c>
      <c r="Z23" s="155">
        <v>0.54</v>
      </c>
      <c r="AA23" s="189">
        <v>1136.4411</v>
      </c>
      <c r="AB23" s="185">
        <v>4663.44645</v>
      </c>
      <c r="AC23" s="61">
        <f t="shared" si="6"/>
        <v>0.24369125113466242</v>
      </c>
      <c r="AD23" s="181">
        <f t="shared" si="7"/>
        <v>0.7563087488653376</v>
      </c>
      <c r="AE23" s="184">
        <v>9484.11208</v>
      </c>
      <c r="AF23" s="185">
        <v>16196.11282</v>
      </c>
      <c r="AG23" s="185">
        <v>321.54</v>
      </c>
      <c r="AH23" s="58">
        <f t="shared" si="8"/>
        <v>0.597440459503338</v>
      </c>
      <c r="AI23" s="60">
        <v>0.5</v>
      </c>
      <c r="AJ23" s="195">
        <v>268.2</v>
      </c>
      <c r="AK23" s="196">
        <v>443.1</v>
      </c>
      <c r="AL23" s="196">
        <f t="shared" si="9"/>
        <v>-174.90000000000003</v>
      </c>
      <c r="AM23" s="147">
        <v>1</v>
      </c>
      <c r="AN23" s="62">
        <v>2542.5</v>
      </c>
      <c r="AO23" s="62">
        <v>3604.1</v>
      </c>
      <c r="AP23" s="63">
        <f t="shared" si="10"/>
        <v>0.7054465747343304</v>
      </c>
      <c r="AQ23" s="64">
        <v>1</v>
      </c>
      <c r="AR23" s="65">
        <f>AT23*100/AT55</f>
        <v>4.216589940025436</v>
      </c>
      <c r="AS23" s="144">
        <v>16136.02</v>
      </c>
      <c r="AT23" s="62">
        <v>16136</v>
      </c>
      <c r="AU23" s="62">
        <v>6007.9</v>
      </c>
      <c r="AV23" s="26">
        <f t="shared" si="11"/>
        <v>0.3723284924039509</v>
      </c>
      <c r="AW23" s="203">
        <v>1</v>
      </c>
      <c r="AX23" s="62">
        <v>2454.23</v>
      </c>
      <c r="AY23" s="66">
        <f t="shared" si="12"/>
        <v>96.52822025565388</v>
      </c>
      <c r="AZ23" s="66">
        <f t="shared" si="13"/>
        <v>40.850047437540574</v>
      </c>
      <c r="BA23" s="203">
        <v>0</v>
      </c>
      <c r="BB23" s="203">
        <v>1</v>
      </c>
      <c r="BC23" s="67">
        <v>6456</v>
      </c>
      <c r="BD23" s="31">
        <f t="shared" si="42"/>
        <v>2499.383519206939</v>
      </c>
      <c r="BE23" s="63">
        <f>BD23/BD58*100%</f>
        <v>0.6454603994867367</v>
      </c>
      <c r="BF23" s="203">
        <v>0</v>
      </c>
      <c r="BG23" s="68">
        <f>BD23*100/BD55</f>
        <v>64.54603994867367</v>
      </c>
      <c r="BH23" s="69">
        <f t="shared" si="14"/>
        <v>139.10756302851527</v>
      </c>
      <c r="BI23" s="69">
        <f t="shared" si="15"/>
        <v>21.918751797223603</v>
      </c>
      <c r="BJ23" s="62">
        <f>3536809.79/1000</f>
        <v>3536.8097900000002</v>
      </c>
      <c r="BK23" s="66">
        <f t="shared" si="16"/>
        <v>547.8329910161091</v>
      </c>
      <c r="BL23" s="58">
        <f>BK23/BK58*100%</f>
        <v>0.8015018314203722</v>
      </c>
      <c r="BM23" s="205">
        <v>0</v>
      </c>
      <c r="BN23" s="70">
        <v>861.9</v>
      </c>
      <c r="BO23" s="71">
        <v>273.21</v>
      </c>
      <c r="BP23" s="58">
        <f>BO23/(BN23+BO23)</f>
        <v>0.24069032957158337</v>
      </c>
      <c r="BQ23" s="208">
        <v>1</v>
      </c>
      <c r="BR23" s="209">
        <v>1</v>
      </c>
      <c r="BS23" s="62">
        <f>15240/1000</f>
        <v>15.24</v>
      </c>
      <c r="BT23" s="72">
        <f t="shared" si="18"/>
        <v>0.0009444719881011403</v>
      </c>
      <c r="BU23" s="211">
        <f t="shared" si="19"/>
        <v>0.0018889439762022806</v>
      </c>
      <c r="BV23" s="169">
        <v>0.6703077442774636</v>
      </c>
      <c r="BW23" s="214">
        <f t="shared" si="20"/>
        <v>0.9932969225572253</v>
      </c>
      <c r="BX23" s="219">
        <f>4+3+2</f>
        <v>9</v>
      </c>
      <c r="BY23" s="214">
        <f t="shared" si="21"/>
        <v>0.25</v>
      </c>
      <c r="BZ23" s="224">
        <v>0</v>
      </c>
      <c r="CA23" s="33">
        <v>1</v>
      </c>
      <c r="CB23" s="224">
        <v>1</v>
      </c>
      <c r="CC23" s="221">
        <f t="shared" si="22"/>
        <v>0.75</v>
      </c>
      <c r="CD23" s="225">
        <v>1</v>
      </c>
      <c r="CE23" s="223">
        <v>0.5</v>
      </c>
      <c r="CF23" s="70"/>
      <c r="CG23" s="221">
        <f t="shared" si="23"/>
        <v>1</v>
      </c>
      <c r="CH23" s="73"/>
      <c r="CI23" s="48"/>
      <c r="CJ23" s="31">
        <v>1</v>
      </c>
      <c r="CK23" s="221">
        <f t="shared" si="24"/>
        <v>0</v>
      </c>
      <c r="CL23" s="240">
        <f t="shared" si="25"/>
        <v>12</v>
      </c>
      <c r="CM23" s="221">
        <f t="shared" si="26"/>
        <v>0.4</v>
      </c>
      <c r="CN23" s="74"/>
      <c r="CO23" s="48">
        <f t="shared" si="27"/>
        <v>1</v>
      </c>
      <c r="CP23" s="66"/>
      <c r="CQ23" s="66">
        <f t="shared" si="28"/>
        <v>1</v>
      </c>
      <c r="CR23" s="224">
        <v>0</v>
      </c>
      <c r="CS23" s="209">
        <f t="shared" si="29"/>
        <v>1</v>
      </c>
      <c r="CT23" s="224">
        <v>0</v>
      </c>
      <c r="CU23" s="33">
        <f t="shared" si="30"/>
        <v>1</v>
      </c>
      <c r="CV23" s="219">
        <v>1</v>
      </c>
      <c r="CW23" s="239">
        <f t="shared" si="31"/>
        <v>0.8</v>
      </c>
      <c r="CX23" s="219">
        <f>2+4+1+3</f>
        <v>10</v>
      </c>
      <c r="CY23" s="239">
        <f t="shared" si="32"/>
        <v>0.09090909090909094</v>
      </c>
      <c r="CZ23" s="219">
        <v>7</v>
      </c>
      <c r="DA23" s="214">
        <f t="shared" si="33"/>
        <v>0.125</v>
      </c>
      <c r="DB23" s="240">
        <f t="shared" si="34"/>
        <v>18</v>
      </c>
      <c r="DC23" s="239">
        <f t="shared" si="35"/>
        <v>0.33333333333333337</v>
      </c>
      <c r="DD23" s="252">
        <v>0</v>
      </c>
      <c r="DE23" s="253">
        <v>0.5</v>
      </c>
      <c r="DF23" s="224">
        <v>4</v>
      </c>
      <c r="DG23" s="251">
        <f t="shared" si="36"/>
        <v>0.7142857142857143</v>
      </c>
      <c r="DH23" s="70">
        <v>1</v>
      </c>
      <c r="DI23" s="209">
        <f t="shared" si="37"/>
        <v>0.9777777777777777</v>
      </c>
      <c r="DJ23" s="62">
        <v>0</v>
      </c>
      <c r="DK23" s="253">
        <v>0</v>
      </c>
      <c r="DL23" s="224">
        <v>3</v>
      </c>
      <c r="DM23" s="260">
        <v>0</v>
      </c>
      <c r="DN23" s="220">
        <f t="shared" si="38"/>
        <v>8</v>
      </c>
      <c r="DO23" s="259">
        <f t="shared" si="39"/>
        <v>0.8709677419354839</v>
      </c>
      <c r="DP23" s="175">
        <v>202</v>
      </c>
      <c r="DQ23" s="166">
        <f>1-DP23/(2018)*100/100</f>
        <v>0.8999008919722498</v>
      </c>
      <c r="DR23" s="66">
        <v>1</v>
      </c>
      <c r="DS23" s="28">
        <f t="shared" si="40"/>
        <v>0.75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50">
        <f t="shared" si="41"/>
        <v>21.545696582639835</v>
      </c>
      <c r="EQ23" s="24">
        <v>13</v>
      </c>
      <c r="ER23" s="53" t="s">
        <v>117</v>
      </c>
    </row>
    <row r="24" spans="1:148" s="54" customFormat="1" ht="18.75">
      <c r="A24" s="55">
        <f t="shared" si="0"/>
        <v>15</v>
      </c>
      <c r="B24" s="56" t="s">
        <v>132</v>
      </c>
      <c r="C24" s="57">
        <v>0</v>
      </c>
      <c r="D24" s="158">
        <v>1</v>
      </c>
      <c r="E24" s="57">
        <v>0</v>
      </c>
      <c r="F24" s="158">
        <v>1</v>
      </c>
      <c r="G24" s="189">
        <v>4224.2</v>
      </c>
      <c r="H24" s="185">
        <v>3488.02004</v>
      </c>
      <c r="I24" s="58">
        <f t="shared" si="1"/>
        <v>0.17427677666777142</v>
      </c>
      <c r="J24" s="151">
        <v>0.1</v>
      </c>
      <c r="K24" s="189">
        <v>3488.02004</v>
      </c>
      <c r="L24" s="185">
        <v>7604.18034</v>
      </c>
      <c r="M24" s="58">
        <f t="shared" si="2"/>
        <v>0.4586977010069175</v>
      </c>
      <c r="N24" s="59">
        <v>0.5</v>
      </c>
      <c r="O24" s="189">
        <v>3488.02004</v>
      </c>
      <c r="P24" s="185">
        <v>3488.02004</v>
      </c>
      <c r="Q24" s="58">
        <f t="shared" si="3"/>
        <v>1</v>
      </c>
      <c r="R24" s="28">
        <v>1</v>
      </c>
      <c r="S24" s="189">
        <v>3488.02004</v>
      </c>
      <c r="T24" s="185">
        <v>2532.50377</v>
      </c>
      <c r="U24" s="61">
        <f t="shared" si="4"/>
        <v>1.3773010256960052</v>
      </c>
      <c r="V24" s="155">
        <v>1</v>
      </c>
      <c r="W24" s="189">
        <v>936.2514</v>
      </c>
      <c r="X24" s="185">
        <v>1144.0694</v>
      </c>
      <c r="Y24" s="61">
        <f t="shared" si="5"/>
        <v>1.2219681594067577</v>
      </c>
      <c r="Z24" s="155">
        <v>0</v>
      </c>
      <c r="AA24" s="189">
        <v>1144.0694</v>
      </c>
      <c r="AB24" s="185">
        <v>2645.42102</v>
      </c>
      <c r="AC24" s="61">
        <f t="shared" si="6"/>
        <v>0.43247157686832016</v>
      </c>
      <c r="AD24" s="181">
        <f t="shared" si="7"/>
        <v>0.5675284231316798</v>
      </c>
      <c r="AE24" s="184">
        <v>4116.1603</v>
      </c>
      <c r="AF24" s="185">
        <v>7604.18034</v>
      </c>
      <c r="AG24" s="185">
        <v>131.1</v>
      </c>
      <c r="AH24" s="58">
        <f t="shared" si="8"/>
        <v>0.550798347231471</v>
      </c>
      <c r="AI24" s="60">
        <v>0.5</v>
      </c>
      <c r="AJ24" s="195">
        <v>499.3</v>
      </c>
      <c r="AK24" s="196">
        <v>103.9</v>
      </c>
      <c r="AL24" s="196">
        <f t="shared" si="9"/>
        <v>395.4</v>
      </c>
      <c r="AM24" s="147">
        <v>0</v>
      </c>
      <c r="AN24" s="62">
        <v>1924.1</v>
      </c>
      <c r="AO24" s="62">
        <v>2204.1</v>
      </c>
      <c r="AP24" s="63">
        <f t="shared" si="10"/>
        <v>0.8729640215961163</v>
      </c>
      <c r="AQ24" s="64">
        <v>1</v>
      </c>
      <c r="AR24" s="65">
        <f>AT24*100/AT52</f>
        <v>2.107563286086586</v>
      </c>
      <c r="AS24" s="144">
        <v>8065.24</v>
      </c>
      <c r="AT24" s="62">
        <v>8065.2</v>
      </c>
      <c r="AU24" s="62">
        <v>4377.7</v>
      </c>
      <c r="AV24" s="26">
        <f t="shared" si="11"/>
        <v>0.5427860795215022</v>
      </c>
      <c r="AW24" s="203">
        <v>0.8</v>
      </c>
      <c r="AX24" s="62">
        <v>1878.09</v>
      </c>
      <c r="AY24" s="66">
        <f t="shared" si="12"/>
        <v>97.60875214385948</v>
      </c>
      <c r="AZ24" s="66">
        <f t="shared" si="13"/>
        <v>42.90129520067616</v>
      </c>
      <c r="BA24" s="203">
        <v>0</v>
      </c>
      <c r="BB24" s="203">
        <v>1</v>
      </c>
      <c r="BC24" s="67">
        <v>1840</v>
      </c>
      <c r="BD24" s="31">
        <f t="shared" si="42"/>
        <v>4383.282608695652</v>
      </c>
      <c r="BE24" s="63">
        <f>BD24/BD56*100%</f>
        <v>1.1319732733813035</v>
      </c>
      <c r="BF24" s="203">
        <v>1</v>
      </c>
      <c r="BG24" s="68">
        <f>BD24*100/BD52</f>
        <v>113.19732733813035</v>
      </c>
      <c r="BH24" s="69">
        <f t="shared" si="14"/>
        <v>111.37403565303258</v>
      </c>
      <c r="BI24" s="69">
        <f t="shared" si="15"/>
        <v>26.5702998065764</v>
      </c>
      <c r="BJ24" s="62">
        <f>2142947.82/1000</f>
        <v>2142.94782</v>
      </c>
      <c r="BK24" s="66">
        <f t="shared" si="16"/>
        <v>1164.645554347826</v>
      </c>
      <c r="BL24" s="58">
        <f>BK24/BK56*100%</f>
        <v>1.7039235680823182</v>
      </c>
      <c r="BM24" s="205">
        <v>1</v>
      </c>
      <c r="BN24" s="70">
        <v>857.9</v>
      </c>
      <c r="BO24" s="71">
        <v>54.38</v>
      </c>
      <c r="BP24" s="58">
        <f>BO24/(BN24+BO24)</f>
        <v>0.05960889200684001</v>
      </c>
      <c r="BQ24" s="208">
        <v>1</v>
      </c>
      <c r="BR24" s="209">
        <v>1</v>
      </c>
      <c r="BS24" s="62">
        <f>65562.1/1000</f>
        <v>65.5621</v>
      </c>
      <c r="BT24" s="72">
        <f t="shared" si="18"/>
        <v>0.008129011059862124</v>
      </c>
      <c r="BU24" s="211">
        <f t="shared" si="19"/>
        <v>0.01625802211972425</v>
      </c>
      <c r="BV24" s="169">
        <v>0</v>
      </c>
      <c r="BW24" s="214">
        <f t="shared" si="20"/>
        <v>1</v>
      </c>
      <c r="BX24" s="219">
        <f>2+2+1</f>
        <v>5</v>
      </c>
      <c r="BY24" s="214">
        <f t="shared" si="21"/>
        <v>0.5833333333333333</v>
      </c>
      <c r="BZ24" s="224">
        <v>0</v>
      </c>
      <c r="CA24" s="33">
        <v>1</v>
      </c>
      <c r="CB24" s="224">
        <v>0</v>
      </c>
      <c r="CC24" s="221">
        <f t="shared" si="22"/>
        <v>1</v>
      </c>
      <c r="CD24" s="225">
        <v>0</v>
      </c>
      <c r="CE24" s="223">
        <f>1-CD24/1</f>
        <v>1</v>
      </c>
      <c r="CF24" s="70"/>
      <c r="CG24" s="221">
        <f t="shared" si="23"/>
        <v>1</v>
      </c>
      <c r="CH24" s="73"/>
      <c r="CI24" s="48"/>
      <c r="CJ24" s="62">
        <v>1</v>
      </c>
      <c r="CK24" s="221">
        <f t="shared" si="24"/>
        <v>0</v>
      </c>
      <c r="CL24" s="240">
        <f t="shared" si="25"/>
        <v>6</v>
      </c>
      <c r="CM24" s="221">
        <f t="shared" si="26"/>
        <v>0.7</v>
      </c>
      <c r="CN24" s="74"/>
      <c r="CO24" s="48">
        <f t="shared" si="27"/>
        <v>1</v>
      </c>
      <c r="CP24" s="66"/>
      <c r="CQ24" s="66">
        <f t="shared" si="28"/>
        <v>1</v>
      </c>
      <c r="CR24" s="224">
        <v>0</v>
      </c>
      <c r="CS24" s="209">
        <f t="shared" si="29"/>
        <v>1</v>
      </c>
      <c r="CT24" s="224">
        <v>1</v>
      </c>
      <c r="CU24" s="33">
        <f t="shared" si="30"/>
        <v>0.5</v>
      </c>
      <c r="CV24" s="219">
        <v>2</v>
      </c>
      <c r="CW24" s="239">
        <f t="shared" si="31"/>
        <v>0.6</v>
      </c>
      <c r="CX24" s="219">
        <f>1+2+2</f>
        <v>5</v>
      </c>
      <c r="CY24" s="239">
        <f t="shared" si="32"/>
        <v>0.5454545454545454</v>
      </c>
      <c r="CZ24" s="219">
        <v>0</v>
      </c>
      <c r="DA24" s="214">
        <f t="shared" si="33"/>
        <v>1</v>
      </c>
      <c r="DB24" s="240">
        <f t="shared" si="34"/>
        <v>8</v>
      </c>
      <c r="DC24" s="239">
        <f t="shared" si="35"/>
        <v>0.7037037037037037</v>
      </c>
      <c r="DD24" s="252">
        <v>0</v>
      </c>
      <c r="DE24" s="253">
        <v>1</v>
      </c>
      <c r="DF24" s="224">
        <v>1</v>
      </c>
      <c r="DG24" s="251">
        <f t="shared" si="36"/>
        <v>0.9285714285714286</v>
      </c>
      <c r="DH24" s="70">
        <v>6</v>
      </c>
      <c r="DI24" s="209">
        <f t="shared" si="37"/>
        <v>0.8666666666666667</v>
      </c>
      <c r="DJ24" s="62">
        <v>1</v>
      </c>
      <c r="DK24" s="253">
        <v>0</v>
      </c>
      <c r="DL24" s="224">
        <v>2</v>
      </c>
      <c r="DM24" s="260">
        <v>0.7</v>
      </c>
      <c r="DN24" s="220">
        <f t="shared" si="38"/>
        <v>10</v>
      </c>
      <c r="DO24" s="259">
        <f t="shared" si="39"/>
        <v>0.8387096774193549</v>
      </c>
      <c r="DP24" s="175">
        <v>145</v>
      </c>
      <c r="DQ24" s="166">
        <f>1-DP24/(1450)*100/100</f>
        <v>0.9</v>
      </c>
      <c r="DR24" s="66">
        <v>2</v>
      </c>
      <c r="DS24" s="28">
        <f t="shared" si="40"/>
        <v>0.5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50">
        <f t="shared" si="41"/>
        <v>22.12619982637446</v>
      </c>
      <c r="EQ24" s="24">
        <v>9</v>
      </c>
      <c r="ER24" s="53" t="s">
        <v>117</v>
      </c>
    </row>
    <row r="25" spans="1:148" s="54" customFormat="1" ht="18.75">
      <c r="A25" s="55">
        <f t="shared" si="0"/>
        <v>16</v>
      </c>
      <c r="B25" s="271" t="s">
        <v>133</v>
      </c>
      <c r="C25" s="272">
        <v>0</v>
      </c>
      <c r="D25" s="273">
        <v>1</v>
      </c>
      <c r="E25" s="272">
        <v>0</v>
      </c>
      <c r="F25" s="273">
        <v>1</v>
      </c>
      <c r="G25" s="274">
        <v>4543.4</v>
      </c>
      <c r="H25" s="275">
        <v>4921.76718</v>
      </c>
      <c r="I25" s="72">
        <f t="shared" si="1"/>
        <v>-0.08327842144649386</v>
      </c>
      <c r="J25" s="276">
        <v>0.6</v>
      </c>
      <c r="K25" s="274">
        <v>4921.76718</v>
      </c>
      <c r="L25" s="275">
        <v>7847.75328</v>
      </c>
      <c r="M25" s="72">
        <f t="shared" si="2"/>
        <v>0.627156206929074</v>
      </c>
      <c r="N25" s="277">
        <v>0.8</v>
      </c>
      <c r="O25" s="274">
        <v>4921.76718</v>
      </c>
      <c r="P25" s="275">
        <v>4225.543</v>
      </c>
      <c r="Q25" s="72">
        <f t="shared" si="3"/>
        <v>1.164765612372185</v>
      </c>
      <c r="R25" s="278">
        <v>1</v>
      </c>
      <c r="S25" s="274">
        <v>4921.76718</v>
      </c>
      <c r="T25" s="275">
        <v>4951.01553</v>
      </c>
      <c r="U25" s="279">
        <f t="shared" si="4"/>
        <v>0.994092454401976</v>
      </c>
      <c r="V25" s="280">
        <v>0</v>
      </c>
      <c r="W25" s="274">
        <v>529.0768</v>
      </c>
      <c r="X25" s="275">
        <v>890.9126</v>
      </c>
      <c r="Y25" s="279">
        <f t="shared" si="5"/>
        <v>1.6839003335621594</v>
      </c>
      <c r="Z25" s="280">
        <v>0</v>
      </c>
      <c r="AA25" s="274">
        <v>890.9126</v>
      </c>
      <c r="AB25" s="275">
        <v>4088.35474</v>
      </c>
      <c r="AC25" s="279">
        <f t="shared" si="6"/>
        <v>0.2179147008167887</v>
      </c>
      <c r="AD25" s="281">
        <f t="shared" si="7"/>
        <v>0.7820852991832112</v>
      </c>
      <c r="AE25" s="282">
        <v>2925.9861</v>
      </c>
      <c r="AF25" s="275">
        <v>7847.75328</v>
      </c>
      <c r="AG25" s="275">
        <v>124.2</v>
      </c>
      <c r="AH25" s="72">
        <f t="shared" si="8"/>
        <v>0.37883937533994716</v>
      </c>
      <c r="AI25" s="283">
        <v>0.8</v>
      </c>
      <c r="AJ25" s="284">
        <v>4000.9</v>
      </c>
      <c r="AK25" s="285">
        <v>1594</v>
      </c>
      <c r="AL25" s="285">
        <f t="shared" si="9"/>
        <v>2406.9</v>
      </c>
      <c r="AM25" s="286">
        <v>0</v>
      </c>
      <c r="AN25" s="287">
        <v>2131.7</v>
      </c>
      <c r="AO25" s="287">
        <v>2426.5</v>
      </c>
      <c r="AP25" s="72">
        <f t="shared" si="10"/>
        <v>0.8785081392952812</v>
      </c>
      <c r="AQ25" s="288">
        <v>1</v>
      </c>
      <c r="AR25" s="65">
        <f>AT25*100/AT55</f>
        <v>2.7025007127385385</v>
      </c>
      <c r="AS25" s="289">
        <v>10341.87</v>
      </c>
      <c r="AT25" s="287">
        <v>10341.9</v>
      </c>
      <c r="AU25" s="287">
        <v>3387.2</v>
      </c>
      <c r="AV25" s="41">
        <f t="shared" si="11"/>
        <v>0.3275229721510713</v>
      </c>
      <c r="AW25" s="290">
        <v>1</v>
      </c>
      <c r="AX25" s="287">
        <v>1923.64</v>
      </c>
      <c r="AY25" s="287">
        <f t="shared" si="12"/>
        <v>90.23971478162969</v>
      </c>
      <c r="AZ25" s="287">
        <f t="shared" si="13"/>
        <v>56.7914501653283</v>
      </c>
      <c r="BA25" s="290">
        <v>0</v>
      </c>
      <c r="BB25" s="290">
        <v>1</v>
      </c>
      <c r="BC25" s="291">
        <v>2268</v>
      </c>
      <c r="BD25" s="292">
        <f t="shared" si="42"/>
        <v>4559.907407407408</v>
      </c>
      <c r="BE25" s="72">
        <f>BD25/BD56*100%</f>
        <v>1.1775862464443283</v>
      </c>
      <c r="BF25" s="290">
        <v>1</v>
      </c>
      <c r="BG25" s="293">
        <f>BD25*100/BD55</f>
        <v>117.75862464443284</v>
      </c>
      <c r="BH25" s="65">
        <f t="shared" si="14"/>
        <v>58.1160350893653</v>
      </c>
      <c r="BI25" s="65">
        <f t="shared" si="15"/>
        <v>11.979032092748914</v>
      </c>
      <c r="BJ25" s="287">
        <f>1238859.52/1000</f>
        <v>1238.85952</v>
      </c>
      <c r="BK25" s="287">
        <f t="shared" si="16"/>
        <v>546.234356261023</v>
      </c>
      <c r="BL25" s="72">
        <f>BK25/BK56*100%</f>
        <v>0.7991629640922159</v>
      </c>
      <c r="BM25" s="293">
        <v>0</v>
      </c>
      <c r="BN25" s="294">
        <v>0</v>
      </c>
      <c r="BO25" s="295">
        <v>0</v>
      </c>
      <c r="BP25" s="72"/>
      <c r="BQ25" s="296"/>
      <c r="BR25" s="34">
        <v>1</v>
      </c>
      <c r="BS25" s="287">
        <f>633389.49/1000</f>
        <v>633.38949</v>
      </c>
      <c r="BT25" s="72">
        <f t="shared" si="18"/>
        <v>0.06124498303019755</v>
      </c>
      <c r="BU25" s="297">
        <f t="shared" si="19"/>
        <v>0.1224899660603951</v>
      </c>
      <c r="BV25" s="298">
        <v>0.9742866761891249</v>
      </c>
      <c r="BW25" s="299">
        <f t="shared" si="20"/>
        <v>0.9902571332381087</v>
      </c>
      <c r="BX25" s="300">
        <f>1+1+1</f>
        <v>3</v>
      </c>
      <c r="BY25" s="299">
        <f t="shared" si="21"/>
        <v>0.75</v>
      </c>
      <c r="BZ25" s="301">
        <v>0</v>
      </c>
      <c r="CA25" s="302">
        <v>1</v>
      </c>
      <c r="CB25" s="301">
        <v>1</v>
      </c>
      <c r="CC25" s="278">
        <f t="shared" si="22"/>
        <v>0.75</v>
      </c>
      <c r="CD25" s="303">
        <v>1</v>
      </c>
      <c r="CE25" s="304">
        <v>0.5</v>
      </c>
      <c r="CF25" s="294"/>
      <c r="CG25" s="278">
        <f t="shared" si="23"/>
        <v>1</v>
      </c>
      <c r="CH25" s="294"/>
      <c r="CI25" s="305"/>
      <c r="CJ25" s="292"/>
      <c r="CK25" s="221">
        <f t="shared" si="24"/>
        <v>1</v>
      </c>
      <c r="CL25" s="306">
        <f t="shared" si="25"/>
        <v>5</v>
      </c>
      <c r="CM25" s="221">
        <f t="shared" si="26"/>
        <v>0.75</v>
      </c>
      <c r="CN25" s="307"/>
      <c r="CO25" s="305">
        <f t="shared" si="27"/>
        <v>1</v>
      </c>
      <c r="CP25" s="287"/>
      <c r="CQ25" s="287">
        <f t="shared" si="28"/>
        <v>1</v>
      </c>
      <c r="CR25" s="301">
        <v>0</v>
      </c>
      <c r="CS25" s="34">
        <f t="shared" si="29"/>
        <v>1</v>
      </c>
      <c r="CT25" s="301">
        <v>1</v>
      </c>
      <c r="CU25" s="33">
        <f t="shared" si="30"/>
        <v>0.5</v>
      </c>
      <c r="CV25" s="300"/>
      <c r="CW25" s="239">
        <f t="shared" si="31"/>
        <v>1</v>
      </c>
      <c r="CX25" s="300">
        <f>3+2+2</f>
        <v>7</v>
      </c>
      <c r="CY25" s="308">
        <f t="shared" si="32"/>
        <v>0.36363636363636365</v>
      </c>
      <c r="CZ25" s="300">
        <v>0</v>
      </c>
      <c r="DA25" s="299">
        <f t="shared" si="33"/>
        <v>1</v>
      </c>
      <c r="DB25" s="240">
        <f t="shared" si="34"/>
        <v>8</v>
      </c>
      <c r="DC25" s="239">
        <f t="shared" si="35"/>
        <v>0.7037037037037037</v>
      </c>
      <c r="DD25" s="309">
        <v>1</v>
      </c>
      <c r="DE25" s="65">
        <v>0.5</v>
      </c>
      <c r="DF25" s="301">
        <v>7</v>
      </c>
      <c r="DG25" s="280">
        <f t="shared" si="36"/>
        <v>0.5</v>
      </c>
      <c r="DH25" s="294">
        <v>2</v>
      </c>
      <c r="DI25" s="34">
        <f t="shared" si="37"/>
        <v>0.9555555555555556</v>
      </c>
      <c r="DJ25" s="287">
        <v>1</v>
      </c>
      <c r="DK25" s="65">
        <v>0</v>
      </c>
      <c r="DL25" s="301">
        <v>4</v>
      </c>
      <c r="DM25" s="310">
        <v>0.3</v>
      </c>
      <c r="DN25" s="311">
        <f t="shared" si="38"/>
        <v>15</v>
      </c>
      <c r="DO25" s="259">
        <f t="shared" si="39"/>
        <v>0.7580645161290323</v>
      </c>
      <c r="DP25" s="312">
        <v>50</v>
      </c>
      <c r="DQ25" s="299">
        <f>1-DP25/(949)*100/100</f>
        <v>0.9473129610115911</v>
      </c>
      <c r="DR25" s="287">
        <v>1</v>
      </c>
      <c r="DS25" s="278">
        <f t="shared" si="40"/>
        <v>0.75</v>
      </c>
      <c r="DT25" s="313">
        <v>1</v>
      </c>
      <c r="DU25" s="278">
        <v>1</v>
      </c>
      <c r="DV25" s="314"/>
      <c r="DW25" s="313">
        <v>1</v>
      </c>
      <c r="DX25" s="278">
        <v>1</v>
      </c>
      <c r="DY25" s="315"/>
      <c r="DZ25" s="313">
        <v>1</v>
      </c>
      <c r="EA25" s="278">
        <v>1</v>
      </c>
      <c r="EB25" s="316"/>
      <c r="EC25" s="313">
        <v>1</v>
      </c>
      <c r="ED25" s="65">
        <v>1</v>
      </c>
      <c r="EE25" s="317"/>
      <c r="EF25" s="317">
        <v>1</v>
      </c>
      <c r="EG25" s="65">
        <v>1</v>
      </c>
      <c r="EH25" s="317"/>
      <c r="EI25" s="317">
        <f>0+1</f>
        <v>1</v>
      </c>
      <c r="EJ25" s="318">
        <v>1</v>
      </c>
      <c r="EK25" s="314"/>
      <c r="EL25" s="317"/>
      <c r="EM25" s="273"/>
      <c r="EN25" s="319"/>
      <c r="EO25" s="320"/>
      <c r="EP25" s="321">
        <f t="shared" si="41"/>
        <v>22.003913579326042</v>
      </c>
      <c r="EQ25" s="24">
        <v>10</v>
      </c>
      <c r="ER25" s="53" t="s">
        <v>117</v>
      </c>
    </row>
    <row r="26" spans="1:148" s="54" customFormat="1" ht="18.75">
      <c r="A26" s="55">
        <f t="shared" si="0"/>
        <v>17</v>
      </c>
      <c r="B26" s="324" t="s">
        <v>134</v>
      </c>
      <c r="C26" s="57">
        <v>0</v>
      </c>
      <c r="D26" s="158">
        <v>1</v>
      </c>
      <c r="E26" s="57">
        <v>0</v>
      </c>
      <c r="F26" s="158">
        <v>1</v>
      </c>
      <c r="G26" s="189">
        <v>3046.5816</v>
      </c>
      <c r="H26" s="185">
        <v>4064.37919</v>
      </c>
      <c r="I26" s="58">
        <f t="shared" si="1"/>
        <v>-0.3340785587361258</v>
      </c>
      <c r="J26" s="151">
        <v>0</v>
      </c>
      <c r="K26" s="189">
        <v>4064.37919</v>
      </c>
      <c r="L26" s="185">
        <v>10966.16345</v>
      </c>
      <c r="M26" s="58">
        <f t="shared" si="2"/>
        <v>0.37062909088775253</v>
      </c>
      <c r="N26" s="59">
        <v>0.5</v>
      </c>
      <c r="O26" s="189">
        <v>4064.37919</v>
      </c>
      <c r="P26" s="185">
        <v>4064.37919</v>
      </c>
      <c r="Q26" s="58">
        <f t="shared" si="3"/>
        <v>1</v>
      </c>
      <c r="R26" s="28">
        <v>1</v>
      </c>
      <c r="S26" s="189">
        <v>4064.37919</v>
      </c>
      <c r="T26" s="185">
        <v>2382.42671</v>
      </c>
      <c r="U26" s="61">
        <f t="shared" si="4"/>
        <v>1.7059828841492461</v>
      </c>
      <c r="V26" s="155">
        <v>1</v>
      </c>
      <c r="W26" s="189">
        <v>369.5156</v>
      </c>
      <c r="X26" s="185">
        <v>723.019</v>
      </c>
      <c r="Y26" s="61">
        <f t="shared" si="5"/>
        <v>1.9566670527577186</v>
      </c>
      <c r="Z26" s="155">
        <v>0</v>
      </c>
      <c r="AA26" s="189">
        <v>723.019</v>
      </c>
      <c r="AB26" s="185">
        <v>3564.12725</v>
      </c>
      <c r="AC26" s="61">
        <f t="shared" si="6"/>
        <v>0.20286004098198235</v>
      </c>
      <c r="AD26" s="181">
        <f t="shared" si="7"/>
        <v>0.7971399590180177</v>
      </c>
      <c r="AE26" s="184">
        <v>6901.78426</v>
      </c>
      <c r="AF26" s="185">
        <v>10966.16345</v>
      </c>
      <c r="AG26" s="185">
        <v>172.96</v>
      </c>
      <c r="AH26" s="58">
        <f t="shared" si="8"/>
        <v>0.6394565146457978</v>
      </c>
      <c r="AI26" s="60">
        <v>0.5</v>
      </c>
      <c r="AJ26" s="195">
        <v>-119.9</v>
      </c>
      <c r="AK26" s="196">
        <v>129.1</v>
      </c>
      <c r="AL26" s="196">
        <f t="shared" si="9"/>
        <v>-249</v>
      </c>
      <c r="AM26" s="147">
        <v>1</v>
      </c>
      <c r="AN26" s="62">
        <v>2417.2</v>
      </c>
      <c r="AO26" s="62">
        <v>2763</v>
      </c>
      <c r="AP26" s="63">
        <f t="shared" si="10"/>
        <v>0.8748461816865725</v>
      </c>
      <c r="AQ26" s="64">
        <v>1</v>
      </c>
      <c r="AR26" s="65">
        <f>AT26*100/AT38</f>
        <v>2.769841765511503</v>
      </c>
      <c r="AS26" s="144">
        <v>10599.56</v>
      </c>
      <c r="AT26" s="62">
        <v>10599.6</v>
      </c>
      <c r="AU26" s="62">
        <v>5685.3</v>
      </c>
      <c r="AV26" s="26">
        <f t="shared" si="11"/>
        <v>0.536371321073705</v>
      </c>
      <c r="AW26" s="203">
        <v>0.8</v>
      </c>
      <c r="AX26" s="62">
        <v>2364.79</v>
      </c>
      <c r="AY26" s="66">
        <f t="shared" si="12"/>
        <v>97.83178884659938</v>
      </c>
      <c r="AZ26" s="66">
        <f t="shared" si="13"/>
        <v>41.59481469755334</v>
      </c>
      <c r="BA26" s="203">
        <v>0</v>
      </c>
      <c r="BB26" s="203">
        <v>1</v>
      </c>
      <c r="BC26" s="67">
        <v>2935</v>
      </c>
      <c r="BD26" s="31">
        <f t="shared" si="42"/>
        <v>3611.434412265758</v>
      </c>
      <c r="BE26" s="63">
        <f>BD26/BD37*100%</f>
        <v>0.9326451425113217</v>
      </c>
      <c r="BF26" s="203">
        <v>0.9</v>
      </c>
      <c r="BG26" s="68">
        <f>BD26*100/BD38</f>
        <v>93.26451425113217</v>
      </c>
      <c r="BH26" s="69">
        <f t="shared" si="14"/>
        <v>165.9804091510839</v>
      </c>
      <c r="BI26" s="69">
        <f t="shared" si="15"/>
        <v>37.85122504622816</v>
      </c>
      <c r="BJ26" s="62">
        <f>4012078.45/1000</f>
        <v>4012.07845</v>
      </c>
      <c r="BK26" s="66">
        <f t="shared" si="16"/>
        <v>1366.977325383305</v>
      </c>
      <c r="BL26" s="58">
        <f>BK26/BK37*100%</f>
        <v>1.9999431355396846</v>
      </c>
      <c r="BM26" s="205">
        <v>1</v>
      </c>
      <c r="BN26" s="70">
        <v>1675</v>
      </c>
      <c r="BO26" s="71">
        <v>146.59</v>
      </c>
      <c r="BP26" s="58">
        <f>BO26/(BN26+BO26)</f>
        <v>0.08047365213906532</v>
      </c>
      <c r="BQ26" s="208">
        <v>1</v>
      </c>
      <c r="BR26" s="209">
        <v>1</v>
      </c>
      <c r="BS26" s="62">
        <v>0</v>
      </c>
      <c r="BT26" s="72">
        <f t="shared" si="18"/>
        <v>0</v>
      </c>
      <c r="BU26" s="211">
        <f t="shared" si="19"/>
        <v>0</v>
      </c>
      <c r="BV26" s="169">
        <v>0</v>
      </c>
      <c r="BW26" s="214">
        <f t="shared" si="20"/>
        <v>1</v>
      </c>
      <c r="BX26" s="219">
        <f>3+2+1</f>
        <v>6</v>
      </c>
      <c r="BY26" s="214">
        <f t="shared" si="21"/>
        <v>0.5</v>
      </c>
      <c r="BZ26" s="224">
        <v>0</v>
      </c>
      <c r="CA26" s="33">
        <v>1</v>
      </c>
      <c r="CB26" s="224">
        <v>2</v>
      </c>
      <c r="CC26" s="221">
        <f t="shared" si="22"/>
        <v>0.5</v>
      </c>
      <c r="CD26" s="225">
        <v>2</v>
      </c>
      <c r="CE26" s="223">
        <v>0</v>
      </c>
      <c r="CF26" s="70">
        <v>1</v>
      </c>
      <c r="CG26" s="221">
        <f t="shared" si="23"/>
        <v>0</v>
      </c>
      <c r="CH26" s="73"/>
      <c r="CI26" s="48"/>
      <c r="CJ26" s="31">
        <v>1</v>
      </c>
      <c r="CK26" s="221">
        <f t="shared" si="24"/>
        <v>0</v>
      </c>
      <c r="CL26" s="240">
        <f t="shared" si="25"/>
        <v>12</v>
      </c>
      <c r="CM26" s="221">
        <f t="shared" si="26"/>
        <v>0.4</v>
      </c>
      <c r="CN26" s="74"/>
      <c r="CO26" s="48">
        <f t="shared" si="27"/>
        <v>1</v>
      </c>
      <c r="CP26" s="66"/>
      <c r="CQ26" s="66">
        <f t="shared" si="28"/>
        <v>1</v>
      </c>
      <c r="CR26" s="224">
        <v>0</v>
      </c>
      <c r="CS26" s="209">
        <f t="shared" si="29"/>
        <v>1</v>
      </c>
      <c r="CT26" s="224">
        <v>0</v>
      </c>
      <c r="CU26" s="33">
        <f t="shared" si="30"/>
        <v>1</v>
      </c>
      <c r="CV26" s="219">
        <v>2</v>
      </c>
      <c r="CW26" s="239">
        <f t="shared" si="31"/>
        <v>0.6</v>
      </c>
      <c r="CX26" s="219">
        <f>1+1+1+2</f>
        <v>5</v>
      </c>
      <c r="CY26" s="239">
        <f t="shared" si="32"/>
        <v>0.5454545454545454</v>
      </c>
      <c r="CZ26" s="219">
        <v>1</v>
      </c>
      <c r="DA26" s="214">
        <f t="shared" si="33"/>
        <v>0.875</v>
      </c>
      <c r="DB26" s="240">
        <f t="shared" si="34"/>
        <v>8</v>
      </c>
      <c r="DC26" s="239">
        <f t="shared" si="35"/>
        <v>0.7037037037037037</v>
      </c>
      <c r="DD26" s="252">
        <v>0</v>
      </c>
      <c r="DE26" s="253">
        <v>1</v>
      </c>
      <c r="DF26" s="224">
        <v>3</v>
      </c>
      <c r="DG26" s="251">
        <f t="shared" si="36"/>
        <v>0.7857142857142857</v>
      </c>
      <c r="DH26" s="70">
        <v>0</v>
      </c>
      <c r="DI26" s="209">
        <f t="shared" si="37"/>
        <v>1</v>
      </c>
      <c r="DJ26" s="62">
        <v>0</v>
      </c>
      <c r="DK26" s="253">
        <v>1</v>
      </c>
      <c r="DL26" s="224">
        <v>0</v>
      </c>
      <c r="DM26" s="260">
        <v>1</v>
      </c>
      <c r="DN26" s="220">
        <f t="shared" si="38"/>
        <v>3</v>
      </c>
      <c r="DO26" s="259">
        <f t="shared" si="39"/>
        <v>0.9516129032258065</v>
      </c>
      <c r="DP26" s="175">
        <v>319</v>
      </c>
      <c r="DQ26" s="166">
        <f>1-DP26/(1066)*100/100</f>
        <v>0.700750469043152</v>
      </c>
      <c r="DR26" s="66">
        <v>2</v>
      </c>
      <c r="DS26" s="28">
        <f t="shared" si="40"/>
        <v>0.5</v>
      </c>
      <c r="DT26" s="45">
        <v>1</v>
      </c>
      <c r="DU26" s="28">
        <v>1</v>
      </c>
      <c r="DV26" s="75"/>
      <c r="DW26" s="45">
        <v>0</v>
      </c>
      <c r="DX26" s="28">
        <v>0</v>
      </c>
      <c r="DY26" s="46"/>
      <c r="DZ26" s="45">
        <v>0</v>
      </c>
      <c r="EA26" s="28">
        <v>0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25">
        <f t="shared" si="41"/>
        <v>20.75320703499068</v>
      </c>
      <c r="EQ26" s="326">
        <v>22</v>
      </c>
      <c r="ER26" s="327" t="s">
        <v>116</v>
      </c>
    </row>
    <row r="27" spans="1:148" s="54" customFormat="1" ht="18.75">
      <c r="A27" s="55">
        <f t="shared" si="0"/>
        <v>18</v>
      </c>
      <c r="B27" s="324" t="s">
        <v>135</v>
      </c>
      <c r="C27" s="57">
        <v>0</v>
      </c>
      <c r="D27" s="158">
        <v>1</v>
      </c>
      <c r="E27" s="57">
        <v>0</v>
      </c>
      <c r="F27" s="158">
        <v>1</v>
      </c>
      <c r="G27" s="189">
        <v>2926.4</v>
      </c>
      <c r="H27" s="185">
        <v>2326.16043</v>
      </c>
      <c r="I27" s="58">
        <f t="shared" si="1"/>
        <v>0.20511193616730458</v>
      </c>
      <c r="J27" s="151">
        <v>0</v>
      </c>
      <c r="K27" s="189">
        <v>2326.16043</v>
      </c>
      <c r="L27" s="185">
        <v>6648.10646</v>
      </c>
      <c r="M27" s="58">
        <f t="shared" si="2"/>
        <v>0.3498981919131301</v>
      </c>
      <c r="N27" s="59">
        <v>0.5</v>
      </c>
      <c r="O27" s="189">
        <v>2326.16043</v>
      </c>
      <c r="P27" s="185">
        <v>2326.16043</v>
      </c>
      <c r="Q27" s="58">
        <f t="shared" si="3"/>
        <v>1</v>
      </c>
      <c r="R27" s="28">
        <v>1</v>
      </c>
      <c r="S27" s="189">
        <v>2326.16043</v>
      </c>
      <c r="T27" s="185">
        <v>1790.64052</v>
      </c>
      <c r="U27" s="61">
        <f t="shared" si="4"/>
        <v>1.2990661185305914</v>
      </c>
      <c r="V27" s="155">
        <v>1</v>
      </c>
      <c r="W27" s="189">
        <v>380.0074</v>
      </c>
      <c r="X27" s="185">
        <v>544.3838</v>
      </c>
      <c r="Y27" s="61">
        <f t="shared" si="5"/>
        <v>1.4325610501269184</v>
      </c>
      <c r="Z27" s="155">
        <v>0</v>
      </c>
      <c r="AA27" s="189">
        <v>544.3838</v>
      </c>
      <c r="AB27" s="185">
        <v>2193.4148</v>
      </c>
      <c r="AC27" s="61">
        <f t="shared" si="6"/>
        <v>0.24819008242307836</v>
      </c>
      <c r="AD27" s="181">
        <f t="shared" si="7"/>
        <v>0.7518099175769216</v>
      </c>
      <c r="AE27" s="184">
        <v>4321.94603</v>
      </c>
      <c r="AF27" s="369">
        <v>6648.10646</v>
      </c>
      <c r="AG27" s="185">
        <v>102.58</v>
      </c>
      <c r="AH27" s="58">
        <f t="shared" si="8"/>
        <v>0.6602900555687311</v>
      </c>
      <c r="AI27" s="60">
        <v>0.5</v>
      </c>
      <c r="AJ27" s="195">
        <v>649.1</v>
      </c>
      <c r="AK27" s="196">
        <v>500.2</v>
      </c>
      <c r="AL27" s="196">
        <f t="shared" si="9"/>
        <v>148.90000000000003</v>
      </c>
      <c r="AM27" s="147">
        <v>0</v>
      </c>
      <c r="AN27" s="62">
        <v>1525.9</v>
      </c>
      <c r="AO27" s="62">
        <v>2211.3</v>
      </c>
      <c r="AP27" s="63">
        <f t="shared" si="10"/>
        <v>0.6900465789354678</v>
      </c>
      <c r="AQ27" s="64">
        <v>1</v>
      </c>
      <c r="AR27" s="65">
        <f>AT27*100/AT53</f>
        <v>1.8486778340796943</v>
      </c>
      <c r="AS27" s="144">
        <v>7074.51</v>
      </c>
      <c r="AT27" s="62">
        <v>7074.5</v>
      </c>
      <c r="AU27" s="62">
        <v>3980.6</v>
      </c>
      <c r="AV27" s="26">
        <f t="shared" si="11"/>
        <v>0.5626679444936822</v>
      </c>
      <c r="AW27" s="203">
        <v>0.8</v>
      </c>
      <c r="AX27" s="62">
        <v>1435.47</v>
      </c>
      <c r="AY27" s="66">
        <f t="shared" si="12"/>
        <v>94.07366144570418</v>
      </c>
      <c r="AZ27" s="66">
        <f t="shared" si="13"/>
        <v>36.06164899763855</v>
      </c>
      <c r="BA27" s="203">
        <v>0</v>
      </c>
      <c r="BB27" s="203">
        <v>1</v>
      </c>
      <c r="BC27" s="67">
        <v>1888</v>
      </c>
      <c r="BD27" s="31">
        <f t="shared" si="42"/>
        <v>3747.0921610169494</v>
      </c>
      <c r="BE27" s="63">
        <f>BD27/BD41*100%</f>
        <v>0.967678463340051</v>
      </c>
      <c r="BF27" s="203">
        <v>0.9</v>
      </c>
      <c r="BG27" s="68">
        <f>BD27*100/BD53</f>
        <v>96.76784633400509</v>
      </c>
      <c r="BH27" s="69">
        <f t="shared" si="14"/>
        <v>127.18876138672259</v>
      </c>
      <c r="BI27" s="69">
        <f t="shared" si="15"/>
        <v>27.433363629938512</v>
      </c>
      <c r="BJ27" s="62">
        <f>1940773.31/1000</f>
        <v>1940.77331</v>
      </c>
      <c r="BK27" s="66">
        <f t="shared" si="16"/>
        <v>1027.9519650423729</v>
      </c>
      <c r="BL27" s="58">
        <f>BK27/BK41*100%</f>
        <v>1.5039353162456863</v>
      </c>
      <c r="BM27" s="205">
        <v>1</v>
      </c>
      <c r="BN27" s="70">
        <v>720.4</v>
      </c>
      <c r="BO27" s="71">
        <v>63.9</v>
      </c>
      <c r="BP27" s="58">
        <f>BO27/(BN27+BO27)</f>
        <v>0.0814739257937014</v>
      </c>
      <c r="BQ27" s="208">
        <v>1</v>
      </c>
      <c r="BR27" s="209">
        <v>1</v>
      </c>
      <c r="BS27" s="62">
        <v>0</v>
      </c>
      <c r="BT27" s="72">
        <f t="shared" si="18"/>
        <v>0</v>
      </c>
      <c r="BU27" s="211">
        <f t="shared" si="19"/>
        <v>0</v>
      </c>
      <c r="BV27" s="169">
        <v>3.032018945521797</v>
      </c>
      <c r="BW27" s="214">
        <f t="shared" si="20"/>
        <v>0.969679810544782</v>
      </c>
      <c r="BX27" s="219">
        <f>4+2+3</f>
        <v>9</v>
      </c>
      <c r="BY27" s="214">
        <f t="shared" si="21"/>
        <v>0.25</v>
      </c>
      <c r="BZ27" s="224">
        <v>0</v>
      </c>
      <c r="CA27" s="33">
        <v>1</v>
      </c>
      <c r="CB27" s="224">
        <v>2</v>
      </c>
      <c r="CC27" s="221">
        <f t="shared" si="22"/>
        <v>0.5</v>
      </c>
      <c r="CD27" s="225">
        <v>1</v>
      </c>
      <c r="CE27" s="223">
        <v>0.5</v>
      </c>
      <c r="CF27" s="70"/>
      <c r="CG27" s="221">
        <f t="shared" si="23"/>
        <v>1</v>
      </c>
      <c r="CH27" s="73"/>
      <c r="CI27" s="48"/>
      <c r="CJ27" s="31"/>
      <c r="CK27" s="221">
        <f t="shared" si="24"/>
        <v>1</v>
      </c>
      <c r="CL27" s="240">
        <f t="shared" si="25"/>
        <v>12</v>
      </c>
      <c r="CM27" s="221">
        <f t="shared" si="26"/>
        <v>0.4</v>
      </c>
      <c r="CN27" s="74"/>
      <c r="CO27" s="48">
        <f t="shared" si="27"/>
        <v>1</v>
      </c>
      <c r="CP27" s="66"/>
      <c r="CQ27" s="66">
        <f t="shared" si="28"/>
        <v>1</v>
      </c>
      <c r="CR27" s="224">
        <v>0</v>
      </c>
      <c r="CS27" s="209">
        <f t="shared" si="29"/>
        <v>1</v>
      </c>
      <c r="CT27" s="224">
        <v>0</v>
      </c>
      <c r="CU27" s="33">
        <f t="shared" si="30"/>
        <v>1</v>
      </c>
      <c r="CV27" s="219">
        <v>0</v>
      </c>
      <c r="CW27" s="239">
        <f t="shared" si="31"/>
        <v>1</v>
      </c>
      <c r="CX27" s="219">
        <f>3+3+2+3</f>
        <v>11</v>
      </c>
      <c r="CY27" s="239">
        <f t="shared" si="32"/>
        <v>0</v>
      </c>
      <c r="CZ27" s="219">
        <v>5</v>
      </c>
      <c r="DA27" s="214">
        <f t="shared" si="33"/>
        <v>0.375</v>
      </c>
      <c r="DB27" s="240">
        <f t="shared" si="34"/>
        <v>16</v>
      </c>
      <c r="DC27" s="239">
        <f t="shared" si="35"/>
        <v>0.40740740740740744</v>
      </c>
      <c r="DD27" s="252">
        <v>2</v>
      </c>
      <c r="DE27" s="253">
        <v>0</v>
      </c>
      <c r="DF27" s="224">
        <v>13</v>
      </c>
      <c r="DG27" s="251">
        <f t="shared" si="36"/>
        <v>0.0714285714285714</v>
      </c>
      <c r="DH27" s="70">
        <v>4</v>
      </c>
      <c r="DI27" s="209">
        <f t="shared" si="37"/>
        <v>0.9111111111111111</v>
      </c>
      <c r="DJ27" s="62">
        <v>1</v>
      </c>
      <c r="DK27" s="253">
        <v>0</v>
      </c>
      <c r="DL27" s="224">
        <v>1</v>
      </c>
      <c r="DM27" s="260">
        <v>0.8</v>
      </c>
      <c r="DN27" s="220">
        <f t="shared" si="38"/>
        <v>21</v>
      </c>
      <c r="DO27" s="259">
        <f t="shared" si="39"/>
        <v>0.6612903225806452</v>
      </c>
      <c r="DP27" s="175">
        <v>400</v>
      </c>
      <c r="DQ27" s="166">
        <f>1-DP27/(1002)*100/100</f>
        <v>0.6007984031936127</v>
      </c>
      <c r="DR27" s="66">
        <v>3</v>
      </c>
      <c r="DS27" s="28">
        <f t="shared" si="40"/>
        <v>0.25</v>
      </c>
      <c r="DT27" s="45">
        <v>1</v>
      </c>
      <c r="DU27" s="28">
        <v>1</v>
      </c>
      <c r="DV27" s="75"/>
      <c r="DW27" s="313">
        <v>1</v>
      </c>
      <c r="DX27" s="278">
        <v>1</v>
      </c>
      <c r="DY27" s="46"/>
      <c r="DZ27" s="313">
        <v>1</v>
      </c>
      <c r="EA27" s="27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25">
        <f t="shared" si="41"/>
        <v>19.740985861303372</v>
      </c>
      <c r="EQ27" s="326">
        <v>24</v>
      </c>
      <c r="ER27" s="327" t="s">
        <v>116</v>
      </c>
    </row>
    <row r="28" spans="1:149" s="54" customFormat="1" ht="18.75">
      <c r="A28" s="323">
        <f t="shared" si="0"/>
        <v>19</v>
      </c>
      <c r="B28" s="271" t="s">
        <v>136</v>
      </c>
      <c r="C28" s="272">
        <v>0</v>
      </c>
      <c r="D28" s="273">
        <v>1</v>
      </c>
      <c r="E28" s="272">
        <v>0</v>
      </c>
      <c r="F28" s="273">
        <v>1</v>
      </c>
      <c r="G28" s="274">
        <v>6835</v>
      </c>
      <c r="H28" s="275">
        <v>9894.43062</v>
      </c>
      <c r="I28" s="72">
        <f t="shared" si="1"/>
        <v>-0.4476123803950255</v>
      </c>
      <c r="J28" s="276">
        <v>0</v>
      </c>
      <c r="K28" s="274">
        <v>9894.43062</v>
      </c>
      <c r="L28" s="275">
        <v>23133.70256</v>
      </c>
      <c r="M28" s="72">
        <f t="shared" si="2"/>
        <v>0.4277063126552103</v>
      </c>
      <c r="N28" s="277">
        <v>0.5</v>
      </c>
      <c r="O28" s="274">
        <v>9894.43062</v>
      </c>
      <c r="P28" s="275">
        <v>9640.478</v>
      </c>
      <c r="Q28" s="72">
        <f t="shared" si="3"/>
        <v>1.0263423265941793</v>
      </c>
      <c r="R28" s="278">
        <v>1</v>
      </c>
      <c r="S28" s="274">
        <v>9894.43062</v>
      </c>
      <c r="T28" s="275">
        <v>7879.4086</v>
      </c>
      <c r="U28" s="279">
        <f t="shared" si="4"/>
        <v>1.2557326472446166</v>
      </c>
      <c r="V28" s="280">
        <v>1</v>
      </c>
      <c r="W28" s="274">
        <v>992.2754</v>
      </c>
      <c r="X28" s="275">
        <v>1785.3206</v>
      </c>
      <c r="Y28" s="279">
        <f t="shared" si="5"/>
        <v>1.7992188458970162</v>
      </c>
      <c r="Z28" s="280">
        <v>0</v>
      </c>
      <c r="AA28" s="274">
        <v>1785.3206</v>
      </c>
      <c r="AB28" s="275">
        <v>5910.33068</v>
      </c>
      <c r="AC28" s="279">
        <f t="shared" si="6"/>
        <v>0.30206780240593917</v>
      </c>
      <c r="AD28" s="281">
        <f t="shared" si="7"/>
        <v>0.6979321975940609</v>
      </c>
      <c r="AE28" s="282">
        <v>13239.27194</v>
      </c>
      <c r="AF28" s="275">
        <v>23133.70256</v>
      </c>
      <c r="AG28" s="275">
        <v>192.28</v>
      </c>
      <c r="AH28" s="72">
        <f t="shared" si="8"/>
        <v>0.5770902787468642</v>
      </c>
      <c r="AI28" s="283">
        <v>0.5</v>
      </c>
      <c r="AJ28" s="284">
        <v>118</v>
      </c>
      <c r="AK28" s="285">
        <v>486.4</v>
      </c>
      <c r="AL28" s="285">
        <f t="shared" si="9"/>
        <v>-368.4</v>
      </c>
      <c r="AM28" s="286">
        <v>1</v>
      </c>
      <c r="AN28" s="287">
        <v>2523.3</v>
      </c>
      <c r="AO28" s="287">
        <v>3009.4</v>
      </c>
      <c r="AP28" s="72">
        <f t="shared" si="10"/>
        <v>0.8384727852728119</v>
      </c>
      <c r="AQ28" s="288">
        <v>1</v>
      </c>
      <c r="AR28" s="65">
        <f>AT28*100/AT56</f>
        <v>5.911666412754923</v>
      </c>
      <c r="AS28" s="289">
        <v>22622.7</v>
      </c>
      <c r="AT28" s="287">
        <v>22622.7</v>
      </c>
      <c r="AU28" s="287">
        <v>7459.3</v>
      </c>
      <c r="AV28" s="41">
        <f t="shared" si="11"/>
        <v>0.3297263368209807</v>
      </c>
      <c r="AW28" s="290">
        <v>1</v>
      </c>
      <c r="AX28" s="287">
        <v>2478.18</v>
      </c>
      <c r="AY28" s="287">
        <f t="shared" si="12"/>
        <v>98.21186541433835</v>
      </c>
      <c r="AZ28" s="287">
        <f t="shared" si="13"/>
        <v>33.22268845602134</v>
      </c>
      <c r="BA28" s="290">
        <v>0</v>
      </c>
      <c r="BB28" s="290">
        <v>1</v>
      </c>
      <c r="BC28" s="291">
        <v>3660</v>
      </c>
      <c r="BD28" s="292">
        <f t="shared" si="42"/>
        <v>6181.065573770492</v>
      </c>
      <c r="BE28" s="72">
        <f>BD28/BD58*100%</f>
        <v>1.596246844007973</v>
      </c>
      <c r="BF28" s="290">
        <v>1</v>
      </c>
      <c r="BG28" s="293">
        <f>BD28*100/BD56</f>
        <v>159.6246844007973</v>
      </c>
      <c r="BH28" s="65">
        <f t="shared" si="14"/>
        <v>184.11276701145323</v>
      </c>
      <c r="BI28" s="65">
        <f t="shared" si="15"/>
        <v>20.535645391575716</v>
      </c>
      <c r="BJ28" s="287">
        <f>4645717.45/1000</f>
        <v>4645.71745</v>
      </c>
      <c r="BK28" s="287">
        <f t="shared" si="16"/>
        <v>1269.3217076502733</v>
      </c>
      <c r="BL28" s="72">
        <f>BK28/BK58*100%</f>
        <v>1.8570690156070075</v>
      </c>
      <c r="BM28" s="293">
        <v>1</v>
      </c>
      <c r="BN28" s="294">
        <v>1404.4</v>
      </c>
      <c r="BO28" s="295">
        <v>529.48</v>
      </c>
      <c r="BP28" s="72">
        <f>BO28/(BN28+BO28)</f>
        <v>0.2737915485966037</v>
      </c>
      <c r="BQ28" s="296">
        <v>1</v>
      </c>
      <c r="BR28" s="34">
        <v>1</v>
      </c>
      <c r="BS28" s="287">
        <f>1122654.09/1000</f>
        <v>1122.65409</v>
      </c>
      <c r="BT28" s="72">
        <f t="shared" si="18"/>
        <v>0.049625115039318914</v>
      </c>
      <c r="BU28" s="297">
        <f t="shared" si="19"/>
        <v>0.09925023007863783</v>
      </c>
      <c r="BV28" s="298">
        <v>1.615758484497452</v>
      </c>
      <c r="BW28" s="299">
        <f t="shared" si="20"/>
        <v>0.9838424151550255</v>
      </c>
      <c r="BX28" s="300">
        <f>3+2+2</f>
        <v>7</v>
      </c>
      <c r="BY28" s="299">
        <f t="shared" si="21"/>
        <v>0.41666666666666663</v>
      </c>
      <c r="BZ28" s="301">
        <v>0</v>
      </c>
      <c r="CA28" s="302">
        <f>1-BZ28/1</f>
        <v>1</v>
      </c>
      <c r="CB28" s="301">
        <v>0</v>
      </c>
      <c r="CC28" s="278">
        <f t="shared" si="22"/>
        <v>1</v>
      </c>
      <c r="CD28" s="303">
        <v>0</v>
      </c>
      <c r="CE28" s="304">
        <f>1-CD28/1</f>
        <v>1</v>
      </c>
      <c r="CF28" s="294"/>
      <c r="CG28" s="278">
        <f t="shared" si="23"/>
        <v>1</v>
      </c>
      <c r="CH28" s="294"/>
      <c r="CI28" s="305"/>
      <c r="CJ28" s="292"/>
      <c r="CK28" s="221">
        <f t="shared" si="24"/>
        <v>1</v>
      </c>
      <c r="CL28" s="306">
        <f t="shared" si="25"/>
        <v>7</v>
      </c>
      <c r="CM28" s="221">
        <f t="shared" si="26"/>
        <v>0.65</v>
      </c>
      <c r="CN28" s="307"/>
      <c r="CO28" s="305">
        <f t="shared" si="27"/>
        <v>1</v>
      </c>
      <c r="CP28" s="287"/>
      <c r="CQ28" s="287">
        <f t="shared" si="28"/>
        <v>1</v>
      </c>
      <c r="CR28" s="301">
        <v>0</v>
      </c>
      <c r="CS28" s="34">
        <f t="shared" si="29"/>
        <v>1</v>
      </c>
      <c r="CT28" s="301">
        <v>0</v>
      </c>
      <c r="CU28" s="33">
        <f t="shared" si="30"/>
        <v>1</v>
      </c>
      <c r="CV28" s="300"/>
      <c r="CW28" s="239">
        <f t="shared" si="31"/>
        <v>1</v>
      </c>
      <c r="CX28" s="300">
        <v>3</v>
      </c>
      <c r="CY28" s="308">
        <f t="shared" si="32"/>
        <v>0.7272727272727273</v>
      </c>
      <c r="CZ28" s="300">
        <v>1</v>
      </c>
      <c r="DA28" s="299">
        <f t="shared" si="33"/>
        <v>0.875</v>
      </c>
      <c r="DB28" s="240">
        <f t="shared" si="34"/>
        <v>4</v>
      </c>
      <c r="DC28" s="239">
        <f t="shared" si="35"/>
        <v>0.8518518518518519</v>
      </c>
      <c r="DD28" s="309">
        <v>0</v>
      </c>
      <c r="DE28" s="65">
        <v>0.5</v>
      </c>
      <c r="DF28" s="301">
        <v>1</v>
      </c>
      <c r="DG28" s="280">
        <f t="shared" si="36"/>
        <v>0.9285714285714286</v>
      </c>
      <c r="DH28" s="294">
        <v>1</v>
      </c>
      <c r="DI28" s="34">
        <f t="shared" si="37"/>
        <v>0.9777777777777777</v>
      </c>
      <c r="DJ28" s="287">
        <v>0</v>
      </c>
      <c r="DK28" s="65">
        <v>0</v>
      </c>
      <c r="DL28" s="301">
        <v>0</v>
      </c>
      <c r="DM28" s="310">
        <v>1</v>
      </c>
      <c r="DN28" s="311">
        <f t="shared" si="38"/>
        <v>2</v>
      </c>
      <c r="DO28" s="259">
        <f t="shared" si="39"/>
        <v>0.967741935483871</v>
      </c>
      <c r="DP28" s="312">
        <v>50</v>
      </c>
      <c r="DQ28" s="299">
        <f>1-DP28/(2177)*100/100</f>
        <v>0.9770326136885622</v>
      </c>
      <c r="DR28" s="287">
        <v>1</v>
      </c>
      <c r="DS28" s="278">
        <f t="shared" si="40"/>
        <v>0.75</v>
      </c>
      <c r="DT28" s="313">
        <v>1</v>
      </c>
      <c r="DU28" s="278">
        <v>1</v>
      </c>
      <c r="DV28" s="314"/>
      <c r="DW28" s="313">
        <v>0</v>
      </c>
      <c r="DX28" s="278">
        <v>0</v>
      </c>
      <c r="DY28" s="315"/>
      <c r="DZ28" s="313">
        <v>0</v>
      </c>
      <c r="EA28" s="278">
        <v>0</v>
      </c>
      <c r="EB28" s="316"/>
      <c r="EC28" s="313">
        <v>1</v>
      </c>
      <c r="ED28" s="65">
        <v>1</v>
      </c>
      <c r="EE28" s="317"/>
      <c r="EF28" s="317">
        <v>1</v>
      </c>
      <c r="EG28" s="65">
        <v>1</v>
      </c>
      <c r="EH28" s="317"/>
      <c r="EI28" s="317">
        <v>1</v>
      </c>
      <c r="EJ28" s="318">
        <v>1</v>
      </c>
      <c r="EK28" s="314"/>
      <c r="EL28" s="317"/>
      <c r="EM28" s="273"/>
      <c r="EN28" s="319"/>
      <c r="EO28" s="320"/>
      <c r="EP28" s="321">
        <f t="shared" si="41"/>
        <v>21.97765124385201</v>
      </c>
      <c r="EQ28" s="24">
        <v>11</v>
      </c>
      <c r="ER28" s="79" t="s">
        <v>117</v>
      </c>
      <c r="ES28" s="77"/>
    </row>
    <row r="29" spans="1:148" s="54" customFormat="1" ht="18.75">
      <c r="A29" s="323">
        <f t="shared" si="0"/>
        <v>20</v>
      </c>
      <c r="B29" s="56" t="s">
        <v>137</v>
      </c>
      <c r="C29" s="57">
        <v>0</v>
      </c>
      <c r="D29" s="158">
        <v>1</v>
      </c>
      <c r="E29" s="57">
        <v>0</v>
      </c>
      <c r="F29" s="158">
        <v>1</v>
      </c>
      <c r="G29" s="189">
        <v>4881.6009</v>
      </c>
      <c r="H29" s="185">
        <v>6110.65719</v>
      </c>
      <c r="I29" s="58">
        <f t="shared" si="1"/>
        <v>-0.2517732021067104</v>
      </c>
      <c r="J29" s="151">
        <v>0</v>
      </c>
      <c r="K29" s="189">
        <v>6110.65719</v>
      </c>
      <c r="L29" s="185">
        <v>12561.4106</v>
      </c>
      <c r="M29" s="58">
        <f t="shared" si="2"/>
        <v>0.4864626581030637</v>
      </c>
      <c r="N29" s="59">
        <v>0.5</v>
      </c>
      <c r="O29" s="189">
        <v>6110.65719</v>
      </c>
      <c r="P29" s="185">
        <v>6110.65719</v>
      </c>
      <c r="Q29" s="58">
        <f t="shared" si="3"/>
        <v>1</v>
      </c>
      <c r="R29" s="28">
        <v>1</v>
      </c>
      <c r="S29" s="189">
        <v>6110.65719</v>
      </c>
      <c r="T29" s="185">
        <v>3486.30138</v>
      </c>
      <c r="U29" s="61">
        <f t="shared" si="4"/>
        <v>1.7527621751393163</v>
      </c>
      <c r="V29" s="155">
        <v>1</v>
      </c>
      <c r="W29" s="189">
        <v>613.3053</v>
      </c>
      <c r="X29" s="185">
        <v>936.4086</v>
      </c>
      <c r="Y29" s="61">
        <f t="shared" si="5"/>
        <v>1.5268229379397178</v>
      </c>
      <c r="Z29" s="155">
        <v>0</v>
      </c>
      <c r="AA29" s="189">
        <v>936.4086</v>
      </c>
      <c r="AB29" s="185">
        <v>3511.36102</v>
      </c>
      <c r="AC29" s="61">
        <f t="shared" si="6"/>
        <v>0.2666796705512212</v>
      </c>
      <c r="AD29" s="181">
        <f t="shared" si="7"/>
        <v>0.7333203294487788</v>
      </c>
      <c r="AE29" s="184">
        <v>6450.75341</v>
      </c>
      <c r="AF29" s="185">
        <v>12561.4106</v>
      </c>
      <c r="AG29" s="185">
        <v>165.83</v>
      </c>
      <c r="AH29" s="58">
        <f t="shared" si="8"/>
        <v>0.5204075241138766</v>
      </c>
      <c r="AI29" s="60">
        <v>0.5</v>
      </c>
      <c r="AJ29" s="195">
        <v>-277.9</v>
      </c>
      <c r="AK29" s="196">
        <v>1291.4</v>
      </c>
      <c r="AL29" s="196">
        <f t="shared" si="9"/>
        <v>-1569.3000000000002</v>
      </c>
      <c r="AM29" s="147">
        <v>1</v>
      </c>
      <c r="AN29" s="62">
        <v>1910.3</v>
      </c>
      <c r="AO29" s="62">
        <v>2547.1</v>
      </c>
      <c r="AP29" s="63">
        <f t="shared" si="10"/>
        <v>0.7499901849161792</v>
      </c>
      <c r="AQ29" s="64">
        <v>1</v>
      </c>
      <c r="AR29" s="65">
        <f>AT29*100/AT55</f>
        <v>3.0783249350826503</v>
      </c>
      <c r="AS29" s="144">
        <v>11780.1</v>
      </c>
      <c r="AT29" s="62">
        <v>11780.1</v>
      </c>
      <c r="AU29" s="62">
        <v>5048.5</v>
      </c>
      <c r="AV29" s="26">
        <f t="shared" si="11"/>
        <v>0.42856172698024636</v>
      </c>
      <c r="AW29" s="203">
        <v>1</v>
      </c>
      <c r="AX29" s="62">
        <v>1698.82</v>
      </c>
      <c r="AY29" s="66">
        <f t="shared" si="12"/>
        <v>88.92948751505</v>
      </c>
      <c r="AZ29" s="66">
        <f t="shared" si="13"/>
        <v>33.64999504803407</v>
      </c>
      <c r="BA29" s="203">
        <v>0</v>
      </c>
      <c r="BB29" s="203">
        <v>1</v>
      </c>
      <c r="BC29" s="67">
        <v>2594</v>
      </c>
      <c r="BD29" s="31">
        <f t="shared" si="42"/>
        <v>4541.287586738627</v>
      </c>
      <c r="BE29" s="63">
        <f>BD29/BD55*100%</f>
        <v>1.172777717943246</v>
      </c>
      <c r="BF29" s="203">
        <v>1</v>
      </c>
      <c r="BG29" s="68">
        <f>BD29*100/BD55</f>
        <v>117.27777179432458</v>
      </c>
      <c r="BH29" s="69">
        <f t="shared" si="14"/>
        <v>225.00593781081503</v>
      </c>
      <c r="BI29" s="69">
        <f t="shared" si="15"/>
        <v>36.48770748974965</v>
      </c>
      <c r="BJ29" s="62">
        <f>4298288.43/1000</f>
        <v>4298.28843</v>
      </c>
      <c r="BK29" s="66">
        <f t="shared" si="16"/>
        <v>1657.0117309175018</v>
      </c>
      <c r="BL29" s="58">
        <f>BK29/BK55*100%</f>
        <v>2.4242752057558468</v>
      </c>
      <c r="BM29" s="205">
        <v>1</v>
      </c>
      <c r="BN29" s="70">
        <v>821</v>
      </c>
      <c r="BO29" s="71">
        <v>255.15</v>
      </c>
      <c r="BP29" s="58">
        <f>BO29/(BN29+BO29)</f>
        <v>0.237095200483204</v>
      </c>
      <c r="BQ29" s="208">
        <v>1</v>
      </c>
      <c r="BR29" s="209">
        <v>1</v>
      </c>
      <c r="BS29" s="62">
        <f>3292492.06/1000</f>
        <v>3292.49206</v>
      </c>
      <c r="BT29" s="72">
        <f t="shared" si="18"/>
        <v>0.27949610444733064</v>
      </c>
      <c r="BU29" s="211">
        <f t="shared" si="19"/>
        <v>0.5589922088946613</v>
      </c>
      <c r="BV29" s="169">
        <v>7.796435501828972</v>
      </c>
      <c r="BW29" s="214">
        <f t="shared" si="20"/>
        <v>0.9220356449817103</v>
      </c>
      <c r="BX29" s="219">
        <f>1+1</f>
        <v>2</v>
      </c>
      <c r="BY29" s="214">
        <f t="shared" si="21"/>
        <v>0.8333333333333334</v>
      </c>
      <c r="BZ29" s="224">
        <v>0</v>
      </c>
      <c r="CA29" s="33">
        <f>1-BZ29/1</f>
        <v>1</v>
      </c>
      <c r="CB29" s="224">
        <v>0</v>
      </c>
      <c r="CC29" s="221">
        <f t="shared" si="22"/>
        <v>1</v>
      </c>
      <c r="CD29" s="225">
        <v>0</v>
      </c>
      <c r="CE29" s="223">
        <f>1-CD29/1</f>
        <v>1</v>
      </c>
      <c r="CF29" s="70"/>
      <c r="CG29" s="221">
        <f t="shared" si="23"/>
        <v>1</v>
      </c>
      <c r="CH29" s="73"/>
      <c r="CI29" s="48"/>
      <c r="CJ29" s="31"/>
      <c r="CK29" s="221">
        <f t="shared" si="24"/>
        <v>1</v>
      </c>
      <c r="CL29" s="240">
        <f t="shared" si="25"/>
        <v>2</v>
      </c>
      <c r="CM29" s="221">
        <f t="shared" si="26"/>
        <v>0.9</v>
      </c>
      <c r="CN29" s="74"/>
      <c r="CO29" s="48">
        <f t="shared" si="27"/>
        <v>1</v>
      </c>
      <c r="CP29" s="66"/>
      <c r="CQ29" s="66">
        <f t="shared" si="28"/>
        <v>1</v>
      </c>
      <c r="CR29" s="224">
        <v>0</v>
      </c>
      <c r="CS29" s="209">
        <f t="shared" si="29"/>
        <v>1</v>
      </c>
      <c r="CT29" s="224">
        <v>0</v>
      </c>
      <c r="CU29" s="33">
        <f t="shared" si="30"/>
        <v>1</v>
      </c>
      <c r="CV29" s="219"/>
      <c r="CW29" s="239">
        <f t="shared" si="31"/>
        <v>1</v>
      </c>
      <c r="CX29" s="219">
        <f>2+3+2+1</f>
        <v>8</v>
      </c>
      <c r="CY29" s="239">
        <f t="shared" si="32"/>
        <v>0.2727272727272727</v>
      </c>
      <c r="CZ29" s="219">
        <v>1</v>
      </c>
      <c r="DA29" s="214">
        <f t="shared" si="33"/>
        <v>0.875</v>
      </c>
      <c r="DB29" s="240">
        <f t="shared" si="34"/>
        <v>9</v>
      </c>
      <c r="DC29" s="239">
        <f t="shared" si="35"/>
        <v>0.6666666666666667</v>
      </c>
      <c r="DD29" s="252">
        <v>0</v>
      </c>
      <c r="DE29" s="253">
        <v>1</v>
      </c>
      <c r="DF29" s="224">
        <v>1</v>
      </c>
      <c r="DG29" s="251">
        <f t="shared" si="36"/>
        <v>0.9285714285714286</v>
      </c>
      <c r="DH29" s="70">
        <v>1</v>
      </c>
      <c r="DI29" s="209">
        <f t="shared" si="37"/>
        <v>0.9777777777777777</v>
      </c>
      <c r="DJ29" s="62">
        <v>0</v>
      </c>
      <c r="DK29" s="253">
        <v>1</v>
      </c>
      <c r="DL29" s="224">
        <v>0</v>
      </c>
      <c r="DM29" s="260">
        <v>1</v>
      </c>
      <c r="DN29" s="220">
        <f t="shared" si="38"/>
        <v>2</v>
      </c>
      <c r="DO29" s="259">
        <f t="shared" si="39"/>
        <v>0.967741935483871</v>
      </c>
      <c r="DP29" s="175">
        <v>146</v>
      </c>
      <c r="DQ29" s="166">
        <f>1-DP29/(1465)*100/100</f>
        <v>0.9003412969283277</v>
      </c>
      <c r="DR29" s="66">
        <v>1</v>
      </c>
      <c r="DS29" s="28">
        <f t="shared" si="40"/>
        <v>0.75</v>
      </c>
      <c r="DT29" s="45">
        <v>1</v>
      </c>
      <c r="DU29" s="28">
        <v>1</v>
      </c>
      <c r="DV29" s="75">
        <v>1</v>
      </c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50">
        <f t="shared" si="41"/>
        <v>24.399098082404016</v>
      </c>
      <c r="EQ29" s="24">
        <v>1</v>
      </c>
      <c r="ER29" s="77" t="s">
        <v>119</v>
      </c>
    </row>
    <row r="30" spans="1:148" s="322" customFormat="1" ht="18.75">
      <c r="A30" s="323">
        <f t="shared" si="0"/>
        <v>21</v>
      </c>
      <c r="B30" s="56" t="s">
        <v>138</v>
      </c>
      <c r="C30" s="57">
        <v>0</v>
      </c>
      <c r="D30" s="158">
        <v>1</v>
      </c>
      <c r="E30" s="57">
        <v>0</v>
      </c>
      <c r="F30" s="158">
        <v>1</v>
      </c>
      <c r="G30" s="189">
        <v>12568.38899</v>
      </c>
      <c r="H30" s="185">
        <v>11657.67713</v>
      </c>
      <c r="I30" s="58">
        <f t="shared" si="1"/>
        <v>0.07246050871950292</v>
      </c>
      <c r="J30" s="151">
        <v>0.6</v>
      </c>
      <c r="K30" s="189">
        <v>11657.67713</v>
      </c>
      <c r="L30" s="185">
        <v>21190.48263</v>
      </c>
      <c r="M30" s="58">
        <f t="shared" si="2"/>
        <v>0.5501374052470083</v>
      </c>
      <c r="N30" s="59">
        <v>0.8</v>
      </c>
      <c r="O30" s="189">
        <v>11657.67713</v>
      </c>
      <c r="P30" s="185">
        <v>11656.91753</v>
      </c>
      <c r="Q30" s="58">
        <f t="shared" si="3"/>
        <v>1.0000651630242767</v>
      </c>
      <c r="R30" s="28">
        <v>1</v>
      </c>
      <c r="S30" s="189">
        <v>11657.67713</v>
      </c>
      <c r="T30" s="185">
        <v>9693.1637</v>
      </c>
      <c r="U30" s="61">
        <f t="shared" si="4"/>
        <v>1.202669994111417</v>
      </c>
      <c r="V30" s="155">
        <v>1</v>
      </c>
      <c r="W30" s="189">
        <v>392.6098</v>
      </c>
      <c r="X30" s="185">
        <v>590.8915</v>
      </c>
      <c r="Y30" s="61">
        <f t="shared" si="5"/>
        <v>1.5050350245969406</v>
      </c>
      <c r="Z30" s="155">
        <v>0</v>
      </c>
      <c r="AA30" s="189">
        <v>590.8915</v>
      </c>
      <c r="AB30" s="185">
        <v>10493.04935</v>
      </c>
      <c r="AC30" s="61">
        <f t="shared" si="6"/>
        <v>0.05631265805492471</v>
      </c>
      <c r="AD30" s="181">
        <f t="shared" si="7"/>
        <v>0.9436873419450753</v>
      </c>
      <c r="AE30" s="184">
        <v>9532.8055</v>
      </c>
      <c r="AF30" s="185">
        <v>21190.48263</v>
      </c>
      <c r="AG30" s="185">
        <v>302.91</v>
      </c>
      <c r="AH30" s="58">
        <f t="shared" si="8"/>
        <v>0.45638646811015304</v>
      </c>
      <c r="AI30" s="60">
        <v>0.8</v>
      </c>
      <c r="AJ30" s="195">
        <v>8191.7</v>
      </c>
      <c r="AK30" s="196">
        <v>238.1</v>
      </c>
      <c r="AL30" s="196">
        <f t="shared" si="9"/>
        <v>7953.599999999999</v>
      </c>
      <c r="AM30" s="147">
        <v>0</v>
      </c>
      <c r="AN30" s="62">
        <v>3403.3</v>
      </c>
      <c r="AO30" s="62">
        <v>3407.8</v>
      </c>
      <c r="AP30" s="63">
        <f t="shared" si="10"/>
        <v>0.9986794999706555</v>
      </c>
      <c r="AQ30" s="64">
        <v>1</v>
      </c>
      <c r="AR30" s="65">
        <f>AT30*100/AT57</f>
        <v>7.129475913095809</v>
      </c>
      <c r="AS30" s="144">
        <v>27282.98</v>
      </c>
      <c r="AT30" s="62">
        <v>27283</v>
      </c>
      <c r="AU30" s="62">
        <v>7418.9</v>
      </c>
      <c r="AV30" s="26">
        <f t="shared" si="11"/>
        <v>0.27192410799700034</v>
      </c>
      <c r="AW30" s="203">
        <v>1</v>
      </c>
      <c r="AX30" s="62">
        <v>3389.12</v>
      </c>
      <c r="AY30" s="66">
        <f t="shared" si="12"/>
        <v>99.58334557635236</v>
      </c>
      <c r="AZ30" s="66">
        <f t="shared" si="13"/>
        <v>45.68224399843643</v>
      </c>
      <c r="BA30" s="203">
        <v>0</v>
      </c>
      <c r="BB30" s="203">
        <v>1</v>
      </c>
      <c r="BC30" s="67">
        <v>5567</v>
      </c>
      <c r="BD30" s="31">
        <f t="shared" si="42"/>
        <v>4900.84066822346</v>
      </c>
      <c r="BE30" s="63">
        <f>BD30/BD59*100%</f>
        <v>1.265631525223501</v>
      </c>
      <c r="BF30" s="203">
        <v>1</v>
      </c>
      <c r="BG30" s="68">
        <f>BD30*100/BD57</f>
        <v>126.56315252235011</v>
      </c>
      <c r="BH30" s="69">
        <f t="shared" si="14"/>
        <v>92.41219345928951</v>
      </c>
      <c r="BI30" s="69">
        <f t="shared" si="15"/>
        <v>11.527559945753767</v>
      </c>
      <c r="BJ30" s="62">
        <f>3145064.18/1000</f>
        <v>3145.0641800000003</v>
      </c>
      <c r="BK30" s="66">
        <f t="shared" si="16"/>
        <v>564.9477600143704</v>
      </c>
      <c r="BL30" s="58">
        <f>BK30/BK59*100%</f>
        <v>0.8265414309359108</v>
      </c>
      <c r="BM30" s="205">
        <v>0</v>
      </c>
      <c r="BN30" s="70">
        <v>0</v>
      </c>
      <c r="BO30" s="71">
        <v>0</v>
      </c>
      <c r="BP30" s="58"/>
      <c r="BQ30" s="208"/>
      <c r="BR30" s="209">
        <v>1</v>
      </c>
      <c r="BS30" s="62">
        <f>3237659.73/1000</f>
        <v>3237.65973</v>
      </c>
      <c r="BT30" s="72">
        <f t="shared" si="18"/>
        <v>0.11866949125829271</v>
      </c>
      <c r="BU30" s="211">
        <f t="shared" si="19"/>
        <v>0.23733898251658542</v>
      </c>
      <c r="BV30" s="169">
        <v>18.75948643022452</v>
      </c>
      <c r="BW30" s="214">
        <f t="shared" si="20"/>
        <v>0.8124051356977549</v>
      </c>
      <c r="BX30" s="219">
        <v>6</v>
      </c>
      <c r="BY30" s="214">
        <f t="shared" si="21"/>
        <v>0.5</v>
      </c>
      <c r="BZ30" s="224">
        <v>0</v>
      </c>
      <c r="CA30" s="33">
        <f>1-BZ30/1</f>
        <v>1</v>
      </c>
      <c r="CB30" s="224">
        <v>1</v>
      </c>
      <c r="CC30" s="221">
        <f t="shared" si="22"/>
        <v>0.75</v>
      </c>
      <c r="CD30" s="225">
        <v>1</v>
      </c>
      <c r="CE30" s="223">
        <v>0.5</v>
      </c>
      <c r="CF30" s="70"/>
      <c r="CG30" s="221">
        <f t="shared" si="23"/>
        <v>1</v>
      </c>
      <c r="CH30" s="73"/>
      <c r="CI30" s="48"/>
      <c r="CJ30" s="31"/>
      <c r="CK30" s="221">
        <f t="shared" si="24"/>
        <v>1</v>
      </c>
      <c r="CL30" s="240">
        <f t="shared" si="25"/>
        <v>8</v>
      </c>
      <c r="CM30" s="221">
        <f t="shared" si="26"/>
        <v>0.6</v>
      </c>
      <c r="CN30" s="74"/>
      <c r="CO30" s="48">
        <f t="shared" si="27"/>
        <v>1</v>
      </c>
      <c r="CP30" s="66"/>
      <c r="CQ30" s="66">
        <f t="shared" si="28"/>
        <v>1</v>
      </c>
      <c r="CR30" s="224">
        <v>0</v>
      </c>
      <c r="CS30" s="209">
        <f t="shared" si="29"/>
        <v>1</v>
      </c>
      <c r="CT30" s="224">
        <v>0</v>
      </c>
      <c r="CU30" s="33">
        <f t="shared" si="30"/>
        <v>1</v>
      </c>
      <c r="CV30" s="219">
        <v>1</v>
      </c>
      <c r="CW30" s="239">
        <f t="shared" si="31"/>
        <v>0.8</v>
      </c>
      <c r="CX30" s="219">
        <f>3+3+1+2</f>
        <v>9</v>
      </c>
      <c r="CY30" s="239">
        <f t="shared" si="32"/>
        <v>0.18181818181818177</v>
      </c>
      <c r="CZ30" s="219">
        <v>0</v>
      </c>
      <c r="DA30" s="214">
        <f t="shared" si="33"/>
        <v>1</v>
      </c>
      <c r="DB30" s="240">
        <f t="shared" si="34"/>
        <v>10</v>
      </c>
      <c r="DC30" s="239">
        <f t="shared" si="35"/>
        <v>0.6296296296296297</v>
      </c>
      <c r="DD30" s="252">
        <v>0</v>
      </c>
      <c r="DE30" s="253">
        <v>1</v>
      </c>
      <c r="DF30" s="224">
        <v>1</v>
      </c>
      <c r="DG30" s="251">
        <f t="shared" si="36"/>
        <v>0.9285714285714286</v>
      </c>
      <c r="DH30" s="70">
        <v>3</v>
      </c>
      <c r="DI30" s="209">
        <f t="shared" si="37"/>
        <v>0.9333333333333333</v>
      </c>
      <c r="DJ30" s="62">
        <v>1</v>
      </c>
      <c r="DK30" s="253">
        <v>0</v>
      </c>
      <c r="DL30" s="224">
        <v>1</v>
      </c>
      <c r="DM30" s="260">
        <v>0.8333333333333334</v>
      </c>
      <c r="DN30" s="220">
        <f t="shared" si="38"/>
        <v>6</v>
      </c>
      <c r="DO30" s="259">
        <f t="shared" si="39"/>
        <v>0.9032258064516129</v>
      </c>
      <c r="DP30" s="175">
        <v>426</v>
      </c>
      <c r="DQ30" s="166">
        <f>1-DP30/(2128)*100/100</f>
        <v>0.799812030075188</v>
      </c>
      <c r="DR30" s="66">
        <v>0</v>
      </c>
      <c r="DS30" s="28">
        <f t="shared" si="40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50">
        <f t="shared" si="41"/>
        <v>23.126098926315844</v>
      </c>
      <c r="EQ30" s="24">
        <v>5</v>
      </c>
      <c r="ER30" s="79" t="s">
        <v>117</v>
      </c>
    </row>
    <row r="31" spans="1:148" s="322" customFormat="1" ht="18.75">
      <c r="A31" s="323">
        <f t="shared" si="0"/>
        <v>22</v>
      </c>
      <c r="B31" s="56" t="s">
        <v>139</v>
      </c>
      <c r="C31" s="57">
        <v>0</v>
      </c>
      <c r="D31" s="158">
        <v>1</v>
      </c>
      <c r="E31" s="57">
        <v>0</v>
      </c>
      <c r="F31" s="158">
        <v>1</v>
      </c>
      <c r="G31" s="189">
        <v>6098.9</v>
      </c>
      <c r="H31" s="185">
        <v>7114.17526</v>
      </c>
      <c r="I31" s="58">
        <f t="shared" si="1"/>
        <v>-0.16646858613848406</v>
      </c>
      <c r="J31" s="151">
        <v>0.2</v>
      </c>
      <c r="K31" s="189">
        <v>7114.17526</v>
      </c>
      <c r="L31" s="185">
        <v>13492.56615</v>
      </c>
      <c r="M31" s="58">
        <f t="shared" si="2"/>
        <v>0.5272662872955416</v>
      </c>
      <c r="N31" s="59">
        <v>0.8</v>
      </c>
      <c r="O31" s="189">
        <v>7114.17526</v>
      </c>
      <c r="P31" s="185">
        <v>7114.17526</v>
      </c>
      <c r="Q31" s="58">
        <f t="shared" si="3"/>
        <v>1</v>
      </c>
      <c r="R31" s="28">
        <v>1</v>
      </c>
      <c r="S31" s="189">
        <v>7114.17526</v>
      </c>
      <c r="T31" s="185">
        <v>4355.52677</v>
      </c>
      <c r="U31" s="61">
        <f t="shared" si="4"/>
        <v>1.6333673596041287</v>
      </c>
      <c r="V31" s="155">
        <v>1</v>
      </c>
      <c r="W31" s="189">
        <v>903.443</v>
      </c>
      <c r="X31" s="185">
        <v>1559.8717</v>
      </c>
      <c r="Y31" s="61">
        <f t="shared" si="5"/>
        <v>1.7265856285343957</v>
      </c>
      <c r="Z31" s="155">
        <v>0</v>
      </c>
      <c r="AA31" s="189">
        <v>1559.8717</v>
      </c>
      <c r="AB31" s="185">
        <v>4978.73313</v>
      </c>
      <c r="AC31" s="61">
        <f t="shared" si="6"/>
        <v>0.3133069516421339</v>
      </c>
      <c r="AD31" s="181">
        <f t="shared" si="7"/>
        <v>0.6866930483578662</v>
      </c>
      <c r="AE31" s="184">
        <v>6378.39089</v>
      </c>
      <c r="AF31" s="185">
        <v>13492.56615</v>
      </c>
      <c r="AG31" s="185">
        <v>253</v>
      </c>
      <c r="AH31" s="58">
        <f t="shared" si="8"/>
        <v>0.48176736440868945</v>
      </c>
      <c r="AI31" s="60">
        <v>0.8</v>
      </c>
      <c r="AJ31" s="195">
        <v>-945</v>
      </c>
      <c r="AK31" s="196">
        <v>-106.4</v>
      </c>
      <c r="AL31" s="196">
        <f t="shared" si="9"/>
        <v>-838.6</v>
      </c>
      <c r="AM31" s="147">
        <v>1</v>
      </c>
      <c r="AN31" s="62">
        <v>2225.2</v>
      </c>
      <c r="AO31" s="62">
        <v>3240.2</v>
      </c>
      <c r="AP31" s="63">
        <f t="shared" si="10"/>
        <v>0.6867477316215048</v>
      </c>
      <c r="AQ31" s="64">
        <v>1</v>
      </c>
      <c r="AR31" s="65">
        <f>AT31*100/AT65</f>
        <v>3.232814769771733</v>
      </c>
      <c r="AS31" s="144">
        <v>12371.26</v>
      </c>
      <c r="AT31" s="62">
        <v>12371.3</v>
      </c>
      <c r="AU31" s="62">
        <v>5727</v>
      </c>
      <c r="AV31" s="26">
        <f t="shared" si="11"/>
        <v>0.4629277858520474</v>
      </c>
      <c r="AW31" s="203">
        <v>1</v>
      </c>
      <c r="AX31" s="62">
        <v>2147.56</v>
      </c>
      <c r="AY31" s="66">
        <f t="shared" si="12"/>
        <v>96.51087542692792</v>
      </c>
      <c r="AZ31" s="66">
        <f t="shared" si="13"/>
        <v>37.498865025318665</v>
      </c>
      <c r="BA31" s="203">
        <v>0</v>
      </c>
      <c r="BB31" s="203">
        <v>1</v>
      </c>
      <c r="BC31" s="67">
        <v>5799</v>
      </c>
      <c r="BD31" s="31">
        <f t="shared" si="42"/>
        <v>2133.343679944818</v>
      </c>
      <c r="BE31" s="63">
        <f>BD31/BD69*100%</f>
        <v>0.5509314010106818</v>
      </c>
      <c r="BF31" s="203">
        <v>0</v>
      </c>
      <c r="BG31" s="68">
        <f>BD31*100/BD65</f>
        <v>55.09314010106818</v>
      </c>
      <c r="BH31" s="69">
        <f t="shared" si="14"/>
        <v>81.03914973934927</v>
      </c>
      <c r="BI31" s="69">
        <f t="shared" si="15"/>
        <v>14.576343310727248</v>
      </c>
      <c r="BJ31" s="62">
        <f>1803283.16/1000</f>
        <v>1803.28316</v>
      </c>
      <c r="BK31" s="66">
        <f t="shared" si="16"/>
        <v>310.96450422486635</v>
      </c>
      <c r="BL31" s="58">
        <f>BK31/BK69*100%</f>
        <v>0.45495365144161165</v>
      </c>
      <c r="BM31" s="205">
        <v>0</v>
      </c>
      <c r="BN31" s="70">
        <v>648</v>
      </c>
      <c r="BO31" s="73">
        <v>206.59</v>
      </c>
      <c r="BP31" s="58">
        <f>BO31/(BN31+BO31)</f>
        <v>0.24174165389250984</v>
      </c>
      <c r="BQ31" s="208">
        <v>1</v>
      </c>
      <c r="BR31" s="209">
        <v>1</v>
      </c>
      <c r="BS31" s="62">
        <f>1335368.06/1000</f>
        <v>1335.36806</v>
      </c>
      <c r="BT31" s="72">
        <f t="shared" si="18"/>
        <v>0.10794080331088891</v>
      </c>
      <c r="BU31" s="211">
        <f t="shared" si="19"/>
        <v>0.21588160662177783</v>
      </c>
      <c r="BV31" s="169">
        <v>0</v>
      </c>
      <c r="BW31" s="214">
        <f t="shared" si="20"/>
        <v>1</v>
      </c>
      <c r="BX31" s="219">
        <f>3+2+1</f>
        <v>6</v>
      </c>
      <c r="BY31" s="214">
        <f t="shared" si="21"/>
        <v>0.5</v>
      </c>
      <c r="BZ31" s="224">
        <v>1</v>
      </c>
      <c r="CA31" s="33">
        <v>0</v>
      </c>
      <c r="CB31" s="224">
        <v>2</v>
      </c>
      <c r="CC31" s="221">
        <f t="shared" si="22"/>
        <v>0.5</v>
      </c>
      <c r="CD31" s="225">
        <v>2</v>
      </c>
      <c r="CE31" s="223">
        <v>0</v>
      </c>
      <c r="CF31" s="70"/>
      <c r="CG31" s="221">
        <f t="shared" si="23"/>
        <v>1</v>
      </c>
      <c r="CH31" s="73"/>
      <c r="CI31" s="48"/>
      <c r="CJ31" s="31"/>
      <c r="CK31" s="221">
        <f t="shared" si="24"/>
        <v>1</v>
      </c>
      <c r="CL31" s="240">
        <f t="shared" si="25"/>
        <v>11</v>
      </c>
      <c r="CM31" s="221">
        <f t="shared" si="26"/>
        <v>0.44999999999999996</v>
      </c>
      <c r="CN31" s="74"/>
      <c r="CO31" s="48">
        <f t="shared" si="27"/>
        <v>1</v>
      </c>
      <c r="CP31" s="66"/>
      <c r="CQ31" s="66">
        <f t="shared" si="28"/>
        <v>1</v>
      </c>
      <c r="CR31" s="224">
        <v>1</v>
      </c>
      <c r="CS31" s="209">
        <f t="shared" si="29"/>
        <v>0.6666666666666667</v>
      </c>
      <c r="CT31" s="224">
        <v>0</v>
      </c>
      <c r="CU31" s="33">
        <f t="shared" si="30"/>
        <v>1</v>
      </c>
      <c r="CV31" s="219">
        <v>2</v>
      </c>
      <c r="CW31" s="239">
        <f t="shared" si="31"/>
        <v>0.6</v>
      </c>
      <c r="CX31" s="219">
        <f>1+2+1+1</f>
        <v>5</v>
      </c>
      <c r="CY31" s="239">
        <f t="shared" si="32"/>
        <v>0.5454545454545454</v>
      </c>
      <c r="CZ31" s="219">
        <v>0</v>
      </c>
      <c r="DA31" s="214">
        <f t="shared" si="33"/>
        <v>1</v>
      </c>
      <c r="DB31" s="240">
        <f t="shared" si="34"/>
        <v>8</v>
      </c>
      <c r="DC31" s="239">
        <f t="shared" si="35"/>
        <v>0.7037037037037037</v>
      </c>
      <c r="DD31" s="252">
        <v>0</v>
      </c>
      <c r="DE31" s="253">
        <v>1</v>
      </c>
      <c r="DF31" s="224">
        <v>4</v>
      </c>
      <c r="DG31" s="251">
        <f t="shared" si="36"/>
        <v>0.7142857142857143</v>
      </c>
      <c r="DH31" s="70">
        <v>4</v>
      </c>
      <c r="DI31" s="209">
        <f t="shared" si="37"/>
        <v>0.9111111111111111</v>
      </c>
      <c r="DJ31" s="62">
        <v>1</v>
      </c>
      <c r="DK31" s="253">
        <v>0</v>
      </c>
      <c r="DL31" s="224">
        <v>1</v>
      </c>
      <c r="DM31" s="260">
        <v>0.8</v>
      </c>
      <c r="DN31" s="220">
        <f t="shared" si="38"/>
        <v>10</v>
      </c>
      <c r="DO31" s="259">
        <f t="shared" si="39"/>
        <v>0.8387096774193549</v>
      </c>
      <c r="DP31" s="175">
        <v>278</v>
      </c>
      <c r="DQ31" s="166">
        <f>1-DP31/(1388)*100/100</f>
        <v>0.7997118155619597</v>
      </c>
      <c r="DR31" s="66">
        <v>1</v>
      </c>
      <c r="DS31" s="28">
        <f t="shared" si="40"/>
        <v>0.75</v>
      </c>
      <c r="DT31" s="45">
        <v>1</v>
      </c>
      <c r="DU31" s="28">
        <v>1</v>
      </c>
      <c r="DV31" s="75"/>
      <c r="DW31" s="45">
        <v>1</v>
      </c>
      <c r="DX31" s="28">
        <v>1</v>
      </c>
      <c r="DY31" s="46"/>
      <c r="DZ31" s="45">
        <v>1</v>
      </c>
      <c r="EA31" s="28">
        <v>1</v>
      </c>
      <c r="EB31" s="76"/>
      <c r="EC31" s="313">
        <v>1</v>
      </c>
      <c r="ED31" s="65">
        <v>1</v>
      </c>
      <c r="EE31" s="49"/>
      <c r="EF31" s="49">
        <v>0</v>
      </c>
      <c r="EG31" s="69">
        <v>0</v>
      </c>
      <c r="EH31" s="49"/>
      <c r="EI31" s="49">
        <v>0</v>
      </c>
      <c r="EJ31" s="172">
        <v>0</v>
      </c>
      <c r="EK31" s="75"/>
      <c r="EL31" s="49"/>
      <c r="EM31" s="158"/>
      <c r="EN31" s="176"/>
      <c r="EO31" s="174"/>
      <c r="EP31" s="50">
        <f t="shared" si="41"/>
        <v>20.244699851664663</v>
      </c>
      <c r="EQ31" s="24">
        <v>18</v>
      </c>
      <c r="ER31" s="77" t="s">
        <v>116</v>
      </c>
    </row>
    <row r="32" spans="1:149" s="54" customFormat="1" ht="37.5">
      <c r="A32" s="323">
        <f t="shared" si="0"/>
        <v>23</v>
      </c>
      <c r="B32" s="56" t="s">
        <v>140</v>
      </c>
      <c r="C32" s="57">
        <v>0</v>
      </c>
      <c r="D32" s="158">
        <v>1</v>
      </c>
      <c r="E32" s="57">
        <v>0</v>
      </c>
      <c r="F32" s="158">
        <v>1</v>
      </c>
      <c r="G32" s="189">
        <v>6736.713</v>
      </c>
      <c r="H32" s="185">
        <v>6527.9089</v>
      </c>
      <c r="I32" s="58">
        <f t="shared" si="1"/>
        <v>0.030994952582958393</v>
      </c>
      <c r="J32" s="151">
        <v>0.8</v>
      </c>
      <c r="K32" s="189">
        <v>6527.9089</v>
      </c>
      <c r="L32" s="185">
        <v>9039.76762</v>
      </c>
      <c r="M32" s="58">
        <f t="shared" si="2"/>
        <v>0.7221323793276889</v>
      </c>
      <c r="N32" s="159">
        <v>1</v>
      </c>
      <c r="O32" s="189">
        <v>6527.9089</v>
      </c>
      <c r="P32" s="185">
        <v>5464.68899</v>
      </c>
      <c r="Q32" s="58">
        <f t="shared" si="3"/>
        <v>1.1945618336094916</v>
      </c>
      <c r="R32" s="28">
        <v>1</v>
      </c>
      <c r="S32" s="189">
        <v>6527.9089</v>
      </c>
      <c r="T32" s="185">
        <v>3991.50538</v>
      </c>
      <c r="U32" s="61">
        <f t="shared" si="4"/>
        <v>1.6354503573285928</v>
      </c>
      <c r="V32" s="155">
        <v>1</v>
      </c>
      <c r="W32" s="189">
        <v>1846.5892</v>
      </c>
      <c r="X32" s="185">
        <v>2148.6243</v>
      </c>
      <c r="Y32" s="61">
        <f t="shared" si="5"/>
        <v>1.1635637747691798</v>
      </c>
      <c r="Z32" s="155">
        <v>0</v>
      </c>
      <c r="AA32" s="189">
        <v>2148.6243</v>
      </c>
      <c r="AB32" s="185">
        <v>5715.41061</v>
      </c>
      <c r="AC32" s="61">
        <f t="shared" si="6"/>
        <v>0.3759352471090437</v>
      </c>
      <c r="AD32" s="181">
        <f t="shared" si="7"/>
        <v>0.6240647528909563</v>
      </c>
      <c r="AE32" s="184">
        <v>2511.85872</v>
      </c>
      <c r="AF32" s="185">
        <v>9039.76762</v>
      </c>
      <c r="AG32" s="185">
        <v>101.89</v>
      </c>
      <c r="AH32" s="58">
        <f t="shared" si="8"/>
        <v>0.28103525543684943</v>
      </c>
      <c r="AI32" s="158">
        <v>1</v>
      </c>
      <c r="AJ32" s="197">
        <v>374.8</v>
      </c>
      <c r="AK32" s="185">
        <v>342.5</v>
      </c>
      <c r="AL32" s="185">
        <f t="shared" si="9"/>
        <v>32.30000000000001</v>
      </c>
      <c r="AM32" s="147">
        <v>0</v>
      </c>
      <c r="AN32" s="62">
        <v>1863.9</v>
      </c>
      <c r="AO32" s="62">
        <v>2426.5</v>
      </c>
      <c r="AP32" s="63">
        <f t="shared" si="10"/>
        <v>0.7681434164434371</v>
      </c>
      <c r="AQ32" s="64">
        <v>1</v>
      </c>
      <c r="AR32" s="65">
        <f>AT32*100/AT62</f>
        <v>2.097659421515009</v>
      </c>
      <c r="AS32" s="144">
        <v>8027.33</v>
      </c>
      <c r="AT32" s="62">
        <v>8027.3</v>
      </c>
      <c r="AU32" s="62">
        <v>4467.2</v>
      </c>
      <c r="AV32" s="26">
        <f t="shared" si="11"/>
        <v>0.556498860766905</v>
      </c>
      <c r="AW32" s="203">
        <v>0.8</v>
      </c>
      <c r="AX32" s="62">
        <v>1801.28</v>
      </c>
      <c r="AY32" s="66">
        <f t="shared" si="12"/>
        <v>96.64037770266644</v>
      </c>
      <c r="AZ32" s="66">
        <f t="shared" si="13"/>
        <v>40.32234957020057</v>
      </c>
      <c r="BA32" s="203">
        <v>0</v>
      </c>
      <c r="BB32" s="203">
        <v>1</v>
      </c>
      <c r="BC32" s="67">
        <v>2213</v>
      </c>
      <c r="BD32" s="31">
        <f t="shared" si="42"/>
        <v>3627.3520108450066</v>
      </c>
      <c r="BE32" s="63">
        <f>BD32/BD62*100%</f>
        <v>0.9367558279899117</v>
      </c>
      <c r="BF32" s="203">
        <v>0.9</v>
      </c>
      <c r="BG32" s="68">
        <f>BD32*100/BD62</f>
        <v>93.67558279899117</v>
      </c>
      <c r="BH32" s="69">
        <f t="shared" si="14"/>
        <v>86.0753216374269</v>
      </c>
      <c r="BI32" s="69">
        <f t="shared" si="15"/>
        <v>19.98627085072191</v>
      </c>
      <c r="BJ32" s="62">
        <f>1604357.92/1000</f>
        <v>1604.35792</v>
      </c>
      <c r="BK32" s="66">
        <f t="shared" si="16"/>
        <v>724.9696882060551</v>
      </c>
      <c r="BL32" s="58">
        <f>BK32/BK62*100%</f>
        <v>1.060659986437953</v>
      </c>
      <c r="BM32" s="205">
        <v>1</v>
      </c>
      <c r="BN32" s="70">
        <v>322.8</v>
      </c>
      <c r="BO32" s="71">
        <v>195.07</v>
      </c>
      <c r="BP32" s="58">
        <f>BO32/(BN32+BO32)</f>
        <v>0.3766775445575144</v>
      </c>
      <c r="BQ32" s="208">
        <v>1</v>
      </c>
      <c r="BR32" s="209">
        <v>1</v>
      </c>
      <c r="BS32" s="62">
        <v>0</v>
      </c>
      <c r="BT32" s="72">
        <f t="shared" si="18"/>
        <v>0</v>
      </c>
      <c r="BU32" s="211">
        <f t="shared" si="19"/>
        <v>0</v>
      </c>
      <c r="BV32" s="169">
        <v>0</v>
      </c>
      <c r="BW32" s="214">
        <f t="shared" si="20"/>
        <v>1</v>
      </c>
      <c r="BX32" s="219">
        <f>2+2+2</f>
        <v>6</v>
      </c>
      <c r="BY32" s="214">
        <f t="shared" si="21"/>
        <v>0.5</v>
      </c>
      <c r="BZ32" s="224">
        <v>2</v>
      </c>
      <c r="CA32" s="33">
        <v>0</v>
      </c>
      <c r="CB32" s="224">
        <v>4</v>
      </c>
      <c r="CC32" s="221">
        <f t="shared" si="22"/>
        <v>0</v>
      </c>
      <c r="CD32" s="225">
        <v>1</v>
      </c>
      <c r="CE32" s="223">
        <v>0.5</v>
      </c>
      <c r="CF32" s="70"/>
      <c r="CG32" s="221">
        <f t="shared" si="23"/>
        <v>1</v>
      </c>
      <c r="CH32" s="73"/>
      <c r="CI32" s="48"/>
      <c r="CJ32" s="31"/>
      <c r="CK32" s="221">
        <f t="shared" si="24"/>
        <v>1</v>
      </c>
      <c r="CL32" s="240">
        <f t="shared" si="25"/>
        <v>13</v>
      </c>
      <c r="CM32" s="221">
        <f t="shared" si="26"/>
        <v>0.35</v>
      </c>
      <c r="CN32" s="74"/>
      <c r="CO32" s="48">
        <f t="shared" si="27"/>
        <v>1</v>
      </c>
      <c r="CP32" s="66"/>
      <c r="CQ32" s="66">
        <f t="shared" si="28"/>
        <v>1</v>
      </c>
      <c r="CR32" s="224">
        <v>2</v>
      </c>
      <c r="CS32" s="209">
        <f t="shared" si="29"/>
        <v>0.33333333333333337</v>
      </c>
      <c r="CT32" s="224">
        <v>2</v>
      </c>
      <c r="CU32" s="33">
        <f t="shared" si="30"/>
        <v>0</v>
      </c>
      <c r="CV32" s="219">
        <v>2</v>
      </c>
      <c r="CW32" s="239">
        <f t="shared" si="31"/>
        <v>0.6</v>
      </c>
      <c r="CX32" s="219">
        <f>4+2+2+3</f>
        <v>11</v>
      </c>
      <c r="CY32" s="239">
        <f t="shared" si="32"/>
        <v>0</v>
      </c>
      <c r="CZ32" s="219">
        <v>2</v>
      </c>
      <c r="DA32" s="214">
        <f t="shared" si="33"/>
        <v>0.75</v>
      </c>
      <c r="DB32" s="240">
        <f t="shared" si="34"/>
        <v>19</v>
      </c>
      <c r="DC32" s="239">
        <f t="shared" si="35"/>
        <v>0.2962962962962963</v>
      </c>
      <c r="DD32" s="252">
        <v>1</v>
      </c>
      <c r="DE32" s="253">
        <v>0.5</v>
      </c>
      <c r="DF32" s="224">
        <v>10</v>
      </c>
      <c r="DG32" s="251">
        <f t="shared" si="36"/>
        <v>0.2857142857142857</v>
      </c>
      <c r="DH32" s="70">
        <v>28</v>
      </c>
      <c r="DI32" s="209">
        <f t="shared" si="37"/>
        <v>0.37777777777777777</v>
      </c>
      <c r="DJ32" s="62">
        <v>1</v>
      </c>
      <c r="DK32" s="253">
        <v>0</v>
      </c>
      <c r="DL32" s="224">
        <v>5</v>
      </c>
      <c r="DM32" s="260">
        <v>0.7</v>
      </c>
      <c r="DN32" s="220">
        <f t="shared" si="38"/>
        <v>45</v>
      </c>
      <c r="DO32" s="259">
        <f t="shared" si="39"/>
        <v>0.27419354838709675</v>
      </c>
      <c r="DP32" s="175">
        <v>699</v>
      </c>
      <c r="DQ32" s="166">
        <f>1-DP32/(1748)*100/100</f>
        <v>0.6001144164759725</v>
      </c>
      <c r="DR32" s="66">
        <v>3</v>
      </c>
      <c r="DS32" s="28">
        <f t="shared" si="40"/>
        <v>0.25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1</v>
      </c>
      <c r="EJ32" s="172">
        <v>1</v>
      </c>
      <c r="EK32" s="75"/>
      <c r="EL32" s="49"/>
      <c r="EM32" s="158"/>
      <c r="EN32" s="176"/>
      <c r="EO32" s="174"/>
      <c r="EP32" s="50">
        <f t="shared" si="41"/>
        <v>21.894669014050322</v>
      </c>
      <c r="EQ32" s="24">
        <v>12</v>
      </c>
      <c r="ER32" s="79" t="s">
        <v>117</v>
      </c>
      <c r="ES32" s="80"/>
    </row>
    <row r="33" spans="1:148" s="109" customFormat="1" ht="21.75" customHeight="1" thickBot="1">
      <c r="A33" s="323">
        <f t="shared" si="0"/>
        <v>24</v>
      </c>
      <c r="B33" s="82" t="s">
        <v>141</v>
      </c>
      <c r="C33" s="83">
        <v>0</v>
      </c>
      <c r="D33" s="160">
        <v>1</v>
      </c>
      <c r="E33" s="83">
        <v>0</v>
      </c>
      <c r="F33" s="160">
        <v>1</v>
      </c>
      <c r="G33" s="190">
        <v>5996</v>
      </c>
      <c r="H33" s="187">
        <v>5301.47</v>
      </c>
      <c r="I33" s="84">
        <f t="shared" si="1"/>
        <v>0.11583222148098728</v>
      </c>
      <c r="J33" s="152">
        <f>100%-I33/20%</f>
        <v>0.4208388925950637</v>
      </c>
      <c r="K33" s="190">
        <v>5301.47</v>
      </c>
      <c r="L33" s="187">
        <v>12662.54291</v>
      </c>
      <c r="M33" s="84">
        <f t="shared" si="2"/>
        <v>0.4186734084678415</v>
      </c>
      <c r="N33" s="85">
        <v>0.5</v>
      </c>
      <c r="O33" s="190">
        <v>5301.47</v>
      </c>
      <c r="P33" s="187">
        <v>5321.31134</v>
      </c>
      <c r="Q33" s="84">
        <f t="shared" si="3"/>
        <v>0.9962713438977243</v>
      </c>
      <c r="R33" s="28">
        <v>1</v>
      </c>
      <c r="S33" s="190">
        <v>5301.47</v>
      </c>
      <c r="T33" s="187">
        <v>4426.03785</v>
      </c>
      <c r="U33" s="86">
        <f t="shared" si="4"/>
        <v>1.197791383550866</v>
      </c>
      <c r="V33" s="156">
        <v>1</v>
      </c>
      <c r="W33" s="190">
        <v>698.2738</v>
      </c>
      <c r="X33" s="187">
        <v>427.549</v>
      </c>
      <c r="Y33" s="86">
        <f t="shared" si="5"/>
        <v>0.6122942032194247</v>
      </c>
      <c r="Z33" s="156">
        <v>0.38</v>
      </c>
      <c r="AA33" s="190">
        <v>427.549</v>
      </c>
      <c r="AB33" s="187">
        <v>3805.97084</v>
      </c>
      <c r="AC33" s="86">
        <f t="shared" si="6"/>
        <v>0.11233638353361634</v>
      </c>
      <c r="AD33" s="181">
        <f t="shared" si="7"/>
        <v>0.8876636164663837</v>
      </c>
      <c r="AE33" s="186">
        <v>7361.07291</v>
      </c>
      <c r="AF33" s="187">
        <v>12662.54291</v>
      </c>
      <c r="AG33" s="187">
        <v>76.82</v>
      </c>
      <c r="AH33" s="84">
        <f t="shared" si="8"/>
        <v>0.5848748588093617</v>
      </c>
      <c r="AI33" s="87">
        <v>0.5</v>
      </c>
      <c r="AJ33" s="198">
        <v>1013.2</v>
      </c>
      <c r="AK33" s="199">
        <v>207.9</v>
      </c>
      <c r="AL33" s="199">
        <f t="shared" si="9"/>
        <v>805.3000000000001</v>
      </c>
      <c r="AM33" s="148">
        <v>0</v>
      </c>
      <c r="AN33" s="88">
        <v>1995.5</v>
      </c>
      <c r="AO33" s="88">
        <v>2082.9</v>
      </c>
      <c r="AP33" s="89">
        <f t="shared" si="10"/>
        <v>0.9580392721686111</v>
      </c>
      <c r="AQ33" s="90">
        <v>1</v>
      </c>
      <c r="AR33" s="91">
        <f>AT33*100/AT61</f>
        <v>3.3502761714847615</v>
      </c>
      <c r="AS33" s="145">
        <v>12820.82</v>
      </c>
      <c r="AT33" s="88">
        <v>12820.8</v>
      </c>
      <c r="AU33" s="88">
        <v>4831.5</v>
      </c>
      <c r="AV33" s="26">
        <f t="shared" si="11"/>
        <v>0.3768479707226215</v>
      </c>
      <c r="AW33" s="203">
        <v>1</v>
      </c>
      <c r="AX33" s="88">
        <v>1983.28</v>
      </c>
      <c r="AY33" s="92">
        <f t="shared" si="12"/>
        <v>99.38762214983713</v>
      </c>
      <c r="AZ33" s="92">
        <f t="shared" si="13"/>
        <v>41.048949601573014</v>
      </c>
      <c r="BA33" s="204">
        <v>0</v>
      </c>
      <c r="BB33" s="204">
        <v>1</v>
      </c>
      <c r="BC33" s="93">
        <v>1777</v>
      </c>
      <c r="BD33" s="31">
        <f t="shared" si="42"/>
        <v>7214.867754642656</v>
      </c>
      <c r="BE33" s="89">
        <f>BD33/BD61*100%</f>
        <v>1.8632240259923272</v>
      </c>
      <c r="BF33" s="204">
        <v>1</v>
      </c>
      <c r="BG33" s="94">
        <f>BD33*100/BD61</f>
        <v>186.3224025992327</v>
      </c>
      <c r="BH33" s="95">
        <f t="shared" si="14"/>
        <v>72.86539163117013</v>
      </c>
      <c r="BI33" s="95">
        <f t="shared" si="15"/>
        <v>11.341171299762886</v>
      </c>
      <c r="BJ33" s="88">
        <f>1454028.89/1000</f>
        <v>1454.0288899999998</v>
      </c>
      <c r="BK33" s="92">
        <f t="shared" si="16"/>
        <v>818.249234665166</v>
      </c>
      <c r="BL33" s="84">
        <f>BK33/BK61*100%</f>
        <v>1.1971317370391148</v>
      </c>
      <c r="BM33" s="206">
        <v>1</v>
      </c>
      <c r="BN33" s="96">
        <v>497.1</v>
      </c>
      <c r="BO33" s="97">
        <v>151.24</v>
      </c>
      <c r="BP33" s="84">
        <f>BO33/(BN33+BO33)</f>
        <v>0.2332726655767036</v>
      </c>
      <c r="BQ33" s="208">
        <v>1</v>
      </c>
      <c r="BR33" s="210">
        <v>1</v>
      </c>
      <c r="BS33" s="88">
        <f>286547.97/1000</f>
        <v>286.54796999999996</v>
      </c>
      <c r="BT33" s="98">
        <f t="shared" si="18"/>
        <v>0.02235024101460127</v>
      </c>
      <c r="BU33" s="212">
        <f t="shared" si="19"/>
        <v>0.04470048202920254</v>
      </c>
      <c r="BV33" s="170">
        <v>10.094998544601664</v>
      </c>
      <c r="BW33" s="215">
        <f t="shared" si="20"/>
        <v>0.8990500145539834</v>
      </c>
      <c r="BX33" s="226">
        <v>8</v>
      </c>
      <c r="BY33" s="215">
        <f t="shared" si="21"/>
        <v>0.33333333333333337</v>
      </c>
      <c r="BZ33" s="227">
        <v>0</v>
      </c>
      <c r="CA33" s="33">
        <v>0</v>
      </c>
      <c r="CB33" s="227">
        <v>1</v>
      </c>
      <c r="CC33" s="228">
        <f t="shared" si="22"/>
        <v>0.75</v>
      </c>
      <c r="CD33" s="229">
        <v>0</v>
      </c>
      <c r="CE33" s="223">
        <v>0.5</v>
      </c>
      <c r="CF33" s="96"/>
      <c r="CG33" s="221">
        <f t="shared" si="23"/>
        <v>1</v>
      </c>
      <c r="CH33" s="99"/>
      <c r="CI33" s="100"/>
      <c r="CJ33" s="267"/>
      <c r="CK33" s="221">
        <f t="shared" si="24"/>
        <v>1</v>
      </c>
      <c r="CL33" s="240">
        <f t="shared" si="25"/>
        <v>9</v>
      </c>
      <c r="CM33" s="221">
        <f t="shared" si="26"/>
        <v>0.55</v>
      </c>
      <c r="CN33" s="101"/>
      <c r="CO33" s="100">
        <f t="shared" si="27"/>
        <v>1</v>
      </c>
      <c r="CP33" s="92"/>
      <c r="CQ33" s="92">
        <f t="shared" si="28"/>
        <v>1</v>
      </c>
      <c r="CR33" s="227">
        <v>0</v>
      </c>
      <c r="CS33" s="209">
        <f t="shared" si="29"/>
        <v>1</v>
      </c>
      <c r="CT33" s="227">
        <v>0</v>
      </c>
      <c r="CU33" s="33">
        <f t="shared" si="30"/>
        <v>1</v>
      </c>
      <c r="CV33" s="226"/>
      <c r="CW33" s="239">
        <f t="shared" si="31"/>
        <v>1</v>
      </c>
      <c r="CX33" s="226">
        <v>5</v>
      </c>
      <c r="CY33" s="239">
        <f t="shared" si="32"/>
        <v>0.5454545454545454</v>
      </c>
      <c r="CZ33" s="226">
        <v>8</v>
      </c>
      <c r="DA33" s="215">
        <f t="shared" si="33"/>
        <v>0</v>
      </c>
      <c r="DB33" s="240">
        <f t="shared" si="34"/>
        <v>13</v>
      </c>
      <c r="DC33" s="239">
        <f t="shared" si="35"/>
        <v>0.5185185185185186</v>
      </c>
      <c r="DD33" s="254">
        <v>0</v>
      </c>
      <c r="DE33" s="255">
        <v>0.5</v>
      </c>
      <c r="DF33" s="227">
        <v>2</v>
      </c>
      <c r="DG33" s="251">
        <f t="shared" si="36"/>
        <v>0.8571428571428572</v>
      </c>
      <c r="DH33" s="96">
        <v>2</v>
      </c>
      <c r="DI33" s="209">
        <f t="shared" si="37"/>
        <v>0.9555555555555556</v>
      </c>
      <c r="DJ33" s="88">
        <v>1</v>
      </c>
      <c r="DK33" s="255">
        <v>0</v>
      </c>
      <c r="DL33" s="227">
        <v>1</v>
      </c>
      <c r="DM33" s="261">
        <v>0.5</v>
      </c>
      <c r="DN33" s="220">
        <f t="shared" si="38"/>
        <v>6</v>
      </c>
      <c r="DO33" s="259">
        <f t="shared" si="39"/>
        <v>0.9032258064516129</v>
      </c>
      <c r="DP33" s="177">
        <v>363</v>
      </c>
      <c r="DQ33" s="167">
        <f>1-DP33/(1814)*100/100</f>
        <v>0.7998897464167586</v>
      </c>
      <c r="DR33" s="92">
        <v>0</v>
      </c>
      <c r="DS33" s="161">
        <f t="shared" si="40"/>
        <v>1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1</v>
      </c>
      <c r="EJ33" s="178">
        <v>1</v>
      </c>
      <c r="EK33" s="103"/>
      <c r="EL33" s="106"/>
      <c r="EM33" s="160"/>
      <c r="EN33" s="179"/>
      <c r="EO33" s="180"/>
      <c r="EP33" s="50">
        <f t="shared" si="41"/>
        <v>23.403887077031523</v>
      </c>
      <c r="EQ33" s="24">
        <v>3</v>
      </c>
      <c r="ER33" s="77" t="s">
        <v>119</v>
      </c>
    </row>
    <row r="34" spans="1:148" s="54" customFormat="1" ht="19.5" thickBot="1">
      <c r="A34" s="1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</v>
      </c>
      <c r="I34" s="116">
        <f t="shared" si="1"/>
        <v>-0.16913407750724366</v>
      </c>
      <c r="J34" s="113">
        <f>SUM(J10:J33)/24</f>
        <v>0.19132179796226856</v>
      </c>
      <c r="K34" s="191">
        <f>SUM(K10:K33)</f>
        <v>198684.91324</v>
      </c>
      <c r="L34" s="192">
        <f>SUM(L10:L33)</f>
        <v>373137.38125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</v>
      </c>
      <c r="P34" s="192">
        <f>SUM(P10:P33)</f>
        <v>192867.85680999997</v>
      </c>
      <c r="Q34" s="116">
        <f t="shared" si="3"/>
        <v>1.030160839272096</v>
      </c>
      <c r="R34" s="113">
        <f>SUM(R10:R33)/24</f>
        <v>0.978548059931489</v>
      </c>
      <c r="S34" s="191">
        <f>SUM(S10:S33)</f>
        <v>198684.91324</v>
      </c>
      <c r="T34" s="192">
        <f>SUM(T10:T33)</f>
        <v>157817.09526999996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</v>
      </c>
      <c r="X34" s="192">
        <f>SUM(X10:X33)</f>
        <v>49560.55570000001</v>
      </c>
      <c r="Y34" s="117">
        <f t="shared" si="5"/>
        <v>1.6122988479261684</v>
      </c>
      <c r="Z34" s="113">
        <f>SUM(Z10:Z33)/24</f>
        <v>0.05416666666666667</v>
      </c>
      <c r="AA34" s="191">
        <f>SUM(AA10:AA33)</f>
        <v>49560.55570000001</v>
      </c>
      <c r="AB34" s="192">
        <f>SUM(AB10:AB33)</f>
        <v>166143.71477000002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174452.46800999998</v>
      </c>
      <c r="AF34" s="115">
        <f>SUM(AF10:AF33)</f>
        <v>373137.38125</v>
      </c>
      <c r="AG34" s="115">
        <f>SUM(AG10:AG33)</f>
        <v>5200.759999999999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31871.999999999996</v>
      </c>
      <c r="AK34" s="201">
        <f>SUM(AK10:AK33)</f>
        <v>-3009.2999999999965</v>
      </c>
      <c r="AL34" s="202">
        <f t="shared" si="9"/>
        <v>34881.299999999996</v>
      </c>
      <c r="AM34" s="113">
        <f>SUM(AM10:AM33)/24</f>
        <v>0.5</v>
      </c>
      <c r="AN34" s="121">
        <f>SUM(AN10:AN33)</f>
        <v>58951.7</v>
      </c>
      <c r="AO34" s="121">
        <f>SUM(AO10:AO33)</f>
        <v>70886</v>
      </c>
      <c r="AP34" s="122">
        <f t="shared" si="10"/>
        <v>0.8316409446152978</v>
      </c>
      <c r="AQ34" s="123">
        <v>1</v>
      </c>
      <c r="AR34" s="124">
        <f>SUM(AR1:AR12)</f>
        <v>351.6072076078176</v>
      </c>
      <c r="AS34" s="121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1"/>
        <v>0.3496187286222518</v>
      </c>
      <c r="AW34" s="123">
        <v>1</v>
      </c>
      <c r="AX34" s="120">
        <f>SUM(AX10:AX33)</f>
        <v>56525.35</v>
      </c>
      <c r="AY34" s="127">
        <f t="shared" si="12"/>
        <v>95.88417297550367</v>
      </c>
      <c r="AZ34" s="127">
        <f t="shared" si="13"/>
        <v>42.24877178479682</v>
      </c>
      <c r="BA34" s="123">
        <f>SUM(BA1:BA12)/24</f>
        <v>0</v>
      </c>
      <c r="BB34" s="123">
        <v>1</v>
      </c>
      <c r="BC34" s="121">
        <f>SUM(BC10:BC33)</f>
        <v>98826</v>
      </c>
      <c r="BD34" s="121">
        <f>AT34*1000/BC34</f>
        <v>3872.24920567462</v>
      </c>
      <c r="BE34" s="122">
        <f>BD34/BD40*100%</f>
        <v>1</v>
      </c>
      <c r="BF34" s="123">
        <v>1</v>
      </c>
      <c r="BG34" s="128">
        <f>BD34*100/BD40</f>
        <v>100</v>
      </c>
      <c r="BH34" s="129">
        <f t="shared" si="14"/>
        <v>114.58256696583814</v>
      </c>
      <c r="BI34" s="129">
        <f t="shared" si="15"/>
        <v>17.651449068657822</v>
      </c>
      <c r="BJ34" s="121">
        <f>SUM(BJ10:BJ33)</f>
        <v>67548.37113</v>
      </c>
      <c r="BK34" s="130">
        <f t="shared" si="16"/>
        <v>683.5080963511626</v>
      </c>
      <c r="BL34" s="125">
        <f>BK34/BK40*100%</f>
        <v>1</v>
      </c>
      <c r="BM34" s="123">
        <f>SUM(BM10:BM33)/24</f>
        <v>0.5</v>
      </c>
      <c r="BN34" s="121">
        <f>SUM(BN10:BN33)</f>
        <v>15878.799999999997</v>
      </c>
      <c r="BO34" s="120">
        <f>SUM(BO10:BO33)</f>
        <v>4157.800000000001</v>
      </c>
      <c r="BP34" s="131">
        <f>BO34/(BN34+BO34)</f>
        <v>0.20751025623109717</v>
      </c>
      <c r="BQ34" s="207">
        <v>1</v>
      </c>
      <c r="BR34" s="123">
        <f>SUM(BR10:BR33)/24</f>
        <v>1</v>
      </c>
      <c r="BS34" s="132">
        <f>SUM(BS10:BS33)</f>
        <v>36623.070190000006</v>
      </c>
      <c r="BT34" s="168">
        <f t="shared" si="18"/>
        <v>0.09570182779871063</v>
      </c>
      <c r="BU34" s="213">
        <f t="shared" si="19"/>
        <v>0.19140365559742126</v>
      </c>
      <c r="BV34" s="164">
        <v>2.945818984580009</v>
      </c>
      <c r="BW34" s="216">
        <f t="shared" si="20"/>
        <v>0.9705418101541999</v>
      </c>
      <c r="BX34" s="230">
        <f>SUM(BX10:BX33)</f>
        <v>150</v>
      </c>
      <c r="BY34" s="231">
        <f>SUM(BY10:BY33)/24</f>
        <v>0.4791666666666667</v>
      </c>
      <c r="BZ34" s="232">
        <f>SUM(BZ10:BZ33)</f>
        <v>11</v>
      </c>
      <c r="CA34" s="216">
        <f>SUM(CA10:CA33)/24</f>
        <v>0.625</v>
      </c>
      <c r="CB34" s="232">
        <f>SUM(CB10:CB33)</f>
        <v>31</v>
      </c>
      <c r="CC34" s="216">
        <f>SUM(CC10:CC33)/24</f>
        <v>0.6770833333333334</v>
      </c>
      <c r="CD34" s="232">
        <f>SUM(CD10:CD33)</f>
        <v>17</v>
      </c>
      <c r="CE34" s="216">
        <f>SUM(CE10:CE33)/24</f>
        <v>0.625</v>
      </c>
      <c r="CF34" s="232">
        <f>SUM(CF10:CF33)</f>
        <v>7</v>
      </c>
      <c r="CG34" s="216">
        <f>SUM(CG10:CG33)/24</f>
        <v>0.7083333333333334</v>
      </c>
      <c r="CH34" s="232">
        <f>SUM(CH10:CH33)</f>
        <v>0</v>
      </c>
      <c r="CI34" s="216">
        <f>SUM(CI10:CI33)/24</f>
        <v>0</v>
      </c>
      <c r="CJ34" s="232">
        <f>SUM(CJ10:CJ33)</f>
        <v>10</v>
      </c>
      <c r="CK34" s="216">
        <f>SUM(CK10:CK33)/24</f>
        <v>0.5833333333333334</v>
      </c>
      <c r="CL34" s="258">
        <f>SUM(CL10:CL33)</f>
        <v>226</v>
      </c>
      <c r="CM34" s="216">
        <f>SUM(CM10:CM33)/24</f>
        <v>0.5291666666666667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232">
        <f>SUM(CR10:CR33)</f>
        <v>14</v>
      </c>
      <c r="CS34" s="244">
        <f>SUM(CS10:CS33)/24</f>
        <v>0.8055555555555557</v>
      </c>
      <c r="CT34" s="245">
        <f>SUM(CT10:CT33)</f>
        <v>10</v>
      </c>
      <c r="CU34" s="246">
        <f>SUM(CU10:CU33)/24</f>
        <v>0.7916666666666666</v>
      </c>
      <c r="CV34" s="247">
        <f>SUM(CV10:CV33)</f>
        <v>43</v>
      </c>
      <c r="CW34" s="216">
        <f>SUM(CW10:CW33)/24</f>
        <v>0.6416666666666666</v>
      </c>
      <c r="CX34" s="247">
        <f>SUM(CX10:CX33)</f>
        <v>187</v>
      </c>
      <c r="CY34" s="216">
        <f>SUM(CY10:CY33)/24</f>
        <v>0.2916666666666666</v>
      </c>
      <c r="CZ34" s="230">
        <f>SUM(CZ10:CZ33)</f>
        <v>59</v>
      </c>
      <c r="DA34" s="216">
        <f>SUM(DA10:DA33)/24</f>
        <v>0.6927083333333334</v>
      </c>
      <c r="DB34" s="248">
        <f>SUM(DB10:DB33)</f>
        <v>313</v>
      </c>
      <c r="DC34" s="216">
        <f>SUM(DC10:DC33)/24</f>
        <v>0.5169753086419753</v>
      </c>
      <c r="DD34" s="256">
        <f>SUM(DD10:DD33)</f>
        <v>10</v>
      </c>
      <c r="DE34" s="257">
        <f>SUM(DE10:DE33)/24</f>
        <v>0.7291666666666666</v>
      </c>
      <c r="DF34" s="258">
        <f>SUM(DF10:DF33)</f>
        <v>130</v>
      </c>
      <c r="DG34" s="257">
        <f>SUM(DG10:DG33)/24</f>
        <v>0.6130952380952381</v>
      </c>
      <c r="DH34" s="258">
        <f>SUM(DH10:DH33)</f>
        <v>242</v>
      </c>
      <c r="DI34" s="257">
        <f>SUM(DI10:DI33)/24</f>
        <v>0.7759259259259258</v>
      </c>
      <c r="DJ34" s="258">
        <f>SUM(DJ10:DJ33)</f>
        <v>18</v>
      </c>
      <c r="DK34" s="257">
        <f>SUM(DK10:DK33)/24</f>
        <v>0.16666666666666666</v>
      </c>
      <c r="DL34" s="258">
        <f>SUM(DL10:DL33)</f>
        <v>50</v>
      </c>
      <c r="DM34" s="257">
        <f>SUM(DM10:DM33)/24</f>
        <v>0.6355555555555557</v>
      </c>
      <c r="DN34" s="264">
        <f>SUM(DN10:DN33)</f>
        <v>450</v>
      </c>
      <c r="DO34" s="265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21.810904310854568</v>
      </c>
      <c r="EQ34" s="135" t="s">
        <v>142</v>
      </c>
      <c r="ER34" s="137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3" ref="AT35:AT79">AT34</f>
        <v>382678.9</v>
      </c>
      <c r="AU35" s="3">
        <f>AU33*100/AT33</f>
        <v>37.684855859228755</v>
      </c>
      <c r="AV35" s="3">
        <f>AU35*100%/AT35</f>
        <v>9.84764403243261E-05</v>
      </c>
      <c r="BD35" s="140">
        <f aca="true" t="shared" si="44" ref="BD35:BD66">BD34</f>
        <v>3872.24920567462</v>
      </c>
      <c r="BK35" s="140">
        <f aca="true" t="shared" si="45" ref="BK35:BK66">BK34</f>
        <v>683.5080963511626</v>
      </c>
      <c r="BL35" s="3">
        <f>BJ34*100/AT34</f>
        <v>17.651449068657822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 t="e">
        <f>EP34+#REF!+0.1</f>
        <v>#REF!</v>
      </c>
      <c r="EQ35" s="3" t="s">
        <v>145</v>
      </c>
    </row>
    <row r="36" spans="7:147" ht="15.75">
      <c r="G36" s="142">
        <f aca="true" t="shared" si="46" ref="G36:AM36">G35-G34</f>
        <v>-53184.71298999997</v>
      </c>
      <c r="H36" s="142">
        <f t="shared" si="46"/>
        <v>-40867.81797000003</v>
      </c>
      <c r="I36" s="142">
        <f t="shared" si="46"/>
        <v>-0.18253467418381822</v>
      </c>
      <c r="J36" s="142">
        <f t="shared" si="46"/>
        <v>0.07704959970420888</v>
      </c>
      <c r="K36" s="142">
        <f t="shared" si="46"/>
        <v>-40867.81797000003</v>
      </c>
      <c r="L36" s="142">
        <f t="shared" si="46"/>
        <v>-2466.690189999994</v>
      </c>
      <c r="M36" s="142">
        <f t="shared" si="46"/>
        <v>-0.10671028870508137</v>
      </c>
      <c r="N36" s="142">
        <f t="shared" si="46"/>
        <v>-0.125</v>
      </c>
      <c r="O36" s="142">
        <f t="shared" si="46"/>
        <v>-40867.81797000003</v>
      </c>
      <c r="P36" s="142">
        <f t="shared" si="46"/>
        <v>-35432.560879999975</v>
      </c>
      <c r="Q36" s="142">
        <f t="shared" si="46"/>
        <v>-0.027735720192256785</v>
      </c>
      <c r="R36" s="142">
        <f t="shared" si="46"/>
        <v>-0.006579787714312779</v>
      </c>
      <c r="S36" s="142">
        <f t="shared" si="46"/>
        <v>-40867.81797000003</v>
      </c>
      <c r="T36" s="142">
        <f t="shared" si="46"/>
        <v>-43296.26126999996</v>
      </c>
      <c r="U36" s="142">
        <f t="shared" si="46"/>
        <v>0.11910764432120513</v>
      </c>
      <c r="V36" s="142">
        <f t="shared" si="46"/>
        <v>-0.125</v>
      </c>
      <c r="W36" s="142">
        <f t="shared" si="46"/>
        <v>-15834.607899999988</v>
      </c>
      <c r="X36" s="142">
        <f t="shared" si="46"/>
        <v>-18821.49280000002</v>
      </c>
      <c r="Y36" s="142">
        <f t="shared" si="46"/>
        <v>0.4501088617150084</v>
      </c>
      <c r="Z36" s="142">
        <f t="shared" si="46"/>
        <v>0.02916666666666666</v>
      </c>
      <c r="AA36" s="142">
        <f t="shared" si="46"/>
        <v>-18821.49280000002</v>
      </c>
      <c r="AB36" s="142">
        <f t="shared" si="46"/>
        <v>-31582.076839999994</v>
      </c>
      <c r="AC36" s="142">
        <f t="shared" si="46"/>
        <v>-0.06986078032663165</v>
      </c>
      <c r="AD36" s="142">
        <f t="shared" si="46"/>
        <v>-0.7149501009900274</v>
      </c>
      <c r="AE36" s="142">
        <f t="shared" si="46"/>
        <v>38401.12778000004</v>
      </c>
      <c r="AF36" s="142">
        <f t="shared" si="46"/>
        <v>-2466.690570000035</v>
      </c>
      <c r="AG36" s="142">
        <f t="shared" si="46"/>
        <v>-173.34799999999996</v>
      </c>
      <c r="AH36" s="142">
        <f t="shared" si="46"/>
        <v>0.09029546423618146</v>
      </c>
      <c r="AI36" s="142">
        <f t="shared" si="46"/>
        <v>-0.15416666666666667</v>
      </c>
      <c r="AJ36" s="142">
        <f t="shared" si="46"/>
        <v>618.6402300000082</v>
      </c>
      <c r="AK36" s="142">
        <f t="shared" si="46"/>
        <v>10631.333999999999</v>
      </c>
      <c r="AL36" s="142">
        <f t="shared" si="46"/>
        <v>-10012.69376999999</v>
      </c>
      <c r="AM36" s="142">
        <f t="shared" si="46"/>
        <v>0.125</v>
      </c>
      <c r="AN36" s="142"/>
      <c r="AO36" s="142"/>
      <c r="AP36" s="142"/>
      <c r="AQ36" s="142"/>
      <c r="AT36" s="140">
        <f t="shared" si="43"/>
        <v>382678.9</v>
      </c>
      <c r="BD36" s="140">
        <f t="shared" si="44"/>
        <v>3872.24920567462</v>
      </c>
      <c r="BK36" s="140">
        <f t="shared" si="45"/>
        <v>683.5080963511626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 t="e">
        <f>EP34-#REF!+0.1</f>
        <v>#REF!</v>
      </c>
      <c r="EQ36" s="3" t="s">
        <v>147</v>
      </c>
    </row>
    <row r="37" spans="46:147" ht="15.75">
      <c r="AT37" s="140">
        <f t="shared" si="43"/>
        <v>382678.9</v>
      </c>
      <c r="BD37" s="140">
        <f t="shared" si="44"/>
        <v>3872.24920567462</v>
      </c>
      <c r="BK37" s="140">
        <f t="shared" si="45"/>
        <v>683.5080963511626</v>
      </c>
      <c r="EM37" s="3" t="s">
        <v>148</v>
      </c>
      <c r="EQ37" s="3" t="s">
        <v>149</v>
      </c>
    </row>
    <row r="38" spans="46:63" ht="15.75">
      <c r="AT38" s="140">
        <f t="shared" si="43"/>
        <v>382678.9</v>
      </c>
      <c r="BD38" s="140">
        <f t="shared" si="44"/>
        <v>3872.24920567462</v>
      </c>
      <c r="BK38" s="140">
        <f t="shared" si="45"/>
        <v>683.5080963511626</v>
      </c>
    </row>
    <row r="39" spans="46:63" ht="15.75">
      <c r="AT39" s="140">
        <f t="shared" si="43"/>
        <v>382678.9</v>
      </c>
      <c r="BD39" s="140">
        <f t="shared" si="44"/>
        <v>3872.24920567462</v>
      </c>
      <c r="BK39" s="140">
        <f t="shared" si="45"/>
        <v>683.5080963511626</v>
      </c>
    </row>
    <row r="40" spans="46:63" ht="15.75">
      <c r="AT40" s="140">
        <f t="shared" si="43"/>
        <v>382678.9</v>
      </c>
      <c r="BD40" s="140">
        <f t="shared" si="44"/>
        <v>3872.24920567462</v>
      </c>
      <c r="BK40" s="140">
        <f t="shared" si="45"/>
        <v>683.5080963511626</v>
      </c>
    </row>
    <row r="41" spans="46:63" ht="15.75">
      <c r="AT41" s="140">
        <f t="shared" si="43"/>
        <v>382678.9</v>
      </c>
      <c r="BD41" s="140">
        <f t="shared" si="44"/>
        <v>3872.24920567462</v>
      </c>
      <c r="BK41" s="140">
        <f t="shared" si="45"/>
        <v>683.5080963511626</v>
      </c>
    </row>
    <row r="42" spans="46:63" ht="15.75">
      <c r="AT42" s="140">
        <f t="shared" si="43"/>
        <v>382678.9</v>
      </c>
      <c r="BD42" s="140">
        <f t="shared" si="44"/>
        <v>3872.24920567462</v>
      </c>
      <c r="BK42" s="140">
        <f t="shared" si="45"/>
        <v>683.5080963511626</v>
      </c>
    </row>
    <row r="43" spans="46:63" ht="15.75">
      <c r="AT43" s="140">
        <f t="shared" si="43"/>
        <v>382678.9</v>
      </c>
      <c r="BD43" s="140">
        <f t="shared" si="44"/>
        <v>3872.24920567462</v>
      </c>
      <c r="BK43" s="140">
        <f t="shared" si="45"/>
        <v>683.5080963511626</v>
      </c>
    </row>
    <row r="44" spans="46:63" ht="15.75">
      <c r="AT44" s="140">
        <f t="shared" si="43"/>
        <v>382678.9</v>
      </c>
      <c r="BD44" s="140">
        <f t="shared" si="44"/>
        <v>3872.24920567462</v>
      </c>
      <c r="BK44" s="140">
        <f t="shared" si="45"/>
        <v>683.5080963511626</v>
      </c>
    </row>
    <row r="45" spans="46:63" ht="15.75">
      <c r="AT45" s="140">
        <f t="shared" si="43"/>
        <v>382678.9</v>
      </c>
      <c r="BD45" s="140">
        <f t="shared" si="44"/>
        <v>3872.24920567462</v>
      </c>
      <c r="BK45" s="140">
        <f t="shared" si="45"/>
        <v>683.5080963511626</v>
      </c>
    </row>
    <row r="46" spans="46:63" ht="15.75">
      <c r="AT46" s="140">
        <f t="shared" si="43"/>
        <v>382678.9</v>
      </c>
      <c r="BD46" s="140">
        <f t="shared" si="44"/>
        <v>3872.24920567462</v>
      </c>
      <c r="BK46" s="140">
        <f t="shared" si="45"/>
        <v>683.5080963511626</v>
      </c>
    </row>
    <row r="47" spans="46:63" ht="15.75">
      <c r="AT47" s="140">
        <f t="shared" si="43"/>
        <v>382678.9</v>
      </c>
      <c r="BD47" s="140">
        <f t="shared" si="44"/>
        <v>3872.24920567462</v>
      </c>
      <c r="BK47" s="140">
        <f t="shared" si="45"/>
        <v>683.5080963511626</v>
      </c>
    </row>
    <row r="48" spans="46:63" ht="15.75">
      <c r="AT48" s="140">
        <f t="shared" si="43"/>
        <v>382678.9</v>
      </c>
      <c r="BD48" s="140">
        <f t="shared" si="44"/>
        <v>3872.24920567462</v>
      </c>
      <c r="BK48" s="140">
        <f t="shared" si="45"/>
        <v>683.5080963511626</v>
      </c>
    </row>
    <row r="49" spans="46:63" ht="15.75">
      <c r="AT49" s="140">
        <f t="shared" si="43"/>
        <v>382678.9</v>
      </c>
      <c r="BD49" s="140">
        <f t="shared" si="44"/>
        <v>3872.24920567462</v>
      </c>
      <c r="BK49" s="140">
        <f t="shared" si="45"/>
        <v>683.5080963511626</v>
      </c>
    </row>
    <row r="50" spans="46:63" ht="15.75">
      <c r="AT50" s="140">
        <f t="shared" si="43"/>
        <v>382678.9</v>
      </c>
      <c r="BD50" s="140">
        <f t="shared" si="44"/>
        <v>3872.24920567462</v>
      </c>
      <c r="BK50" s="140">
        <f t="shared" si="45"/>
        <v>683.5080963511626</v>
      </c>
    </row>
    <row r="51" spans="46:63" ht="15.75">
      <c r="AT51" s="140">
        <f t="shared" si="43"/>
        <v>382678.9</v>
      </c>
      <c r="BD51" s="140">
        <f t="shared" si="44"/>
        <v>3872.24920567462</v>
      </c>
      <c r="BK51" s="140">
        <f t="shared" si="45"/>
        <v>683.5080963511626</v>
      </c>
    </row>
    <row r="52" spans="46:63" ht="15.75">
      <c r="AT52" s="140">
        <f t="shared" si="43"/>
        <v>382678.9</v>
      </c>
      <c r="BD52" s="140">
        <f t="shared" si="44"/>
        <v>3872.24920567462</v>
      </c>
      <c r="BK52" s="140">
        <f t="shared" si="45"/>
        <v>683.5080963511626</v>
      </c>
    </row>
    <row r="53" spans="46:63" ht="15.75">
      <c r="AT53" s="140">
        <f t="shared" si="43"/>
        <v>382678.9</v>
      </c>
      <c r="BD53" s="140">
        <f t="shared" si="44"/>
        <v>3872.24920567462</v>
      </c>
      <c r="BK53" s="140">
        <f t="shared" si="45"/>
        <v>683.5080963511626</v>
      </c>
    </row>
    <row r="54" spans="46:63" ht="15.75">
      <c r="AT54" s="140">
        <f t="shared" si="43"/>
        <v>382678.9</v>
      </c>
      <c r="BD54" s="140">
        <f t="shared" si="44"/>
        <v>3872.24920567462</v>
      </c>
      <c r="BK54" s="140">
        <f t="shared" si="45"/>
        <v>683.5080963511626</v>
      </c>
    </row>
    <row r="55" spans="46:63" ht="15.75">
      <c r="AT55" s="140">
        <f t="shared" si="43"/>
        <v>382678.9</v>
      </c>
      <c r="BD55" s="140">
        <f t="shared" si="44"/>
        <v>3872.24920567462</v>
      </c>
      <c r="BK55" s="140">
        <f t="shared" si="45"/>
        <v>683.5080963511626</v>
      </c>
    </row>
    <row r="56" spans="46:63" ht="15.75">
      <c r="AT56" s="140">
        <f t="shared" si="43"/>
        <v>382678.9</v>
      </c>
      <c r="BD56" s="140">
        <f t="shared" si="44"/>
        <v>3872.24920567462</v>
      </c>
      <c r="BK56" s="140">
        <f t="shared" si="45"/>
        <v>683.5080963511626</v>
      </c>
    </row>
    <row r="57" spans="46:63" ht="15.75">
      <c r="AT57" s="140">
        <f t="shared" si="43"/>
        <v>382678.9</v>
      </c>
      <c r="BD57" s="140">
        <f t="shared" si="44"/>
        <v>3872.24920567462</v>
      </c>
      <c r="BK57" s="140">
        <f t="shared" si="45"/>
        <v>683.5080963511626</v>
      </c>
    </row>
    <row r="58" spans="46:63" ht="15.75">
      <c r="AT58" s="140">
        <f t="shared" si="43"/>
        <v>382678.9</v>
      </c>
      <c r="BD58" s="140">
        <f t="shared" si="44"/>
        <v>3872.24920567462</v>
      </c>
      <c r="BK58" s="140">
        <f t="shared" si="45"/>
        <v>683.5080963511626</v>
      </c>
    </row>
    <row r="59" spans="46:63" ht="15.75">
      <c r="AT59" s="140">
        <f t="shared" si="43"/>
        <v>382678.9</v>
      </c>
      <c r="BD59" s="140">
        <f t="shared" si="44"/>
        <v>3872.24920567462</v>
      </c>
      <c r="BK59" s="140">
        <f t="shared" si="45"/>
        <v>683.5080963511626</v>
      </c>
    </row>
    <row r="60" spans="46:63" ht="15.75">
      <c r="AT60" s="140">
        <f t="shared" si="43"/>
        <v>382678.9</v>
      </c>
      <c r="BD60" s="140">
        <f t="shared" si="44"/>
        <v>3872.24920567462</v>
      </c>
      <c r="BK60" s="140">
        <f t="shared" si="45"/>
        <v>683.5080963511626</v>
      </c>
    </row>
    <row r="61" spans="46:63" ht="15.75">
      <c r="AT61" s="140">
        <f t="shared" si="43"/>
        <v>382678.9</v>
      </c>
      <c r="BD61" s="140">
        <f t="shared" si="44"/>
        <v>3872.24920567462</v>
      </c>
      <c r="BK61" s="140">
        <f t="shared" si="45"/>
        <v>683.5080963511626</v>
      </c>
    </row>
    <row r="62" spans="46:63" ht="15.75">
      <c r="AT62" s="140">
        <f t="shared" si="43"/>
        <v>382678.9</v>
      </c>
      <c r="BD62" s="140">
        <f t="shared" si="44"/>
        <v>3872.24920567462</v>
      </c>
      <c r="BK62" s="140">
        <f t="shared" si="45"/>
        <v>683.5080963511626</v>
      </c>
    </row>
    <row r="63" spans="46:63" ht="15.75">
      <c r="AT63" s="140">
        <f t="shared" si="43"/>
        <v>382678.9</v>
      </c>
      <c r="BD63" s="140">
        <f t="shared" si="44"/>
        <v>3872.24920567462</v>
      </c>
      <c r="BK63" s="140">
        <f t="shared" si="45"/>
        <v>683.5080963511626</v>
      </c>
    </row>
    <row r="64" spans="46:63" ht="15.75">
      <c r="AT64" s="140">
        <f t="shared" si="43"/>
        <v>382678.9</v>
      </c>
      <c r="BD64" s="140">
        <f t="shared" si="44"/>
        <v>3872.24920567462</v>
      </c>
      <c r="BK64" s="140">
        <f t="shared" si="45"/>
        <v>683.5080963511626</v>
      </c>
    </row>
    <row r="65" spans="46:63" ht="15.75">
      <c r="AT65" s="140">
        <f t="shared" si="43"/>
        <v>382678.9</v>
      </c>
      <c r="BD65" s="140">
        <f t="shared" si="44"/>
        <v>3872.24920567462</v>
      </c>
      <c r="BK65" s="140">
        <f t="shared" si="45"/>
        <v>683.5080963511626</v>
      </c>
    </row>
    <row r="66" spans="46:63" ht="15.75">
      <c r="AT66" s="140">
        <f t="shared" si="43"/>
        <v>382678.9</v>
      </c>
      <c r="BD66" s="140">
        <f t="shared" si="44"/>
        <v>3872.24920567462</v>
      </c>
      <c r="BK66" s="140">
        <f t="shared" si="45"/>
        <v>683.5080963511626</v>
      </c>
    </row>
    <row r="67" spans="46:63" ht="15.75">
      <c r="AT67" s="140">
        <f t="shared" si="43"/>
        <v>382678.9</v>
      </c>
      <c r="BD67" s="140">
        <f aca="true" t="shared" si="47" ref="BD67:BD90">BD66</f>
        <v>3872.24920567462</v>
      </c>
      <c r="BK67" s="140">
        <f aca="true" t="shared" si="48" ref="BK67:BK99">BK66</f>
        <v>683.5080963511626</v>
      </c>
    </row>
    <row r="68" spans="46:63" ht="15.75">
      <c r="AT68" s="140">
        <f t="shared" si="43"/>
        <v>382678.9</v>
      </c>
      <c r="BD68" s="140">
        <f t="shared" si="47"/>
        <v>3872.24920567462</v>
      </c>
      <c r="BK68" s="140">
        <f t="shared" si="48"/>
        <v>683.5080963511626</v>
      </c>
    </row>
    <row r="69" spans="46:63" ht="15.75">
      <c r="AT69" s="140">
        <f t="shared" si="43"/>
        <v>382678.9</v>
      </c>
      <c r="BD69" s="140">
        <f t="shared" si="47"/>
        <v>3872.24920567462</v>
      </c>
      <c r="BK69" s="140">
        <f t="shared" si="48"/>
        <v>683.5080963511626</v>
      </c>
    </row>
    <row r="70" spans="46:63" ht="15.75">
      <c r="AT70" s="140">
        <f t="shared" si="43"/>
        <v>382678.9</v>
      </c>
      <c r="BD70" s="140">
        <f t="shared" si="47"/>
        <v>3872.24920567462</v>
      </c>
      <c r="BK70" s="140">
        <f t="shared" si="48"/>
        <v>683.5080963511626</v>
      </c>
    </row>
    <row r="71" spans="46:63" ht="15.75">
      <c r="AT71" s="140">
        <f t="shared" si="43"/>
        <v>382678.9</v>
      </c>
      <c r="BD71" s="140">
        <f t="shared" si="47"/>
        <v>3872.24920567462</v>
      </c>
      <c r="BK71" s="140">
        <f t="shared" si="48"/>
        <v>683.5080963511626</v>
      </c>
    </row>
    <row r="72" spans="46:63" ht="15.75">
      <c r="AT72" s="140">
        <f t="shared" si="43"/>
        <v>382678.9</v>
      </c>
      <c r="BD72" s="140">
        <f t="shared" si="47"/>
        <v>3872.24920567462</v>
      </c>
      <c r="BK72" s="140">
        <f t="shared" si="48"/>
        <v>683.5080963511626</v>
      </c>
    </row>
    <row r="73" spans="46:63" ht="15.75">
      <c r="AT73" s="140">
        <f t="shared" si="43"/>
        <v>382678.9</v>
      </c>
      <c r="BD73" s="140">
        <f t="shared" si="47"/>
        <v>3872.24920567462</v>
      </c>
      <c r="BK73" s="140">
        <f t="shared" si="48"/>
        <v>683.5080963511626</v>
      </c>
    </row>
    <row r="74" spans="46:63" ht="15.75">
      <c r="AT74" s="140">
        <f t="shared" si="43"/>
        <v>382678.9</v>
      </c>
      <c r="BD74" s="140">
        <f t="shared" si="47"/>
        <v>3872.24920567462</v>
      </c>
      <c r="BK74" s="140">
        <f t="shared" si="48"/>
        <v>683.5080963511626</v>
      </c>
    </row>
    <row r="75" spans="46:63" ht="15.75">
      <c r="AT75" s="140">
        <f t="shared" si="43"/>
        <v>382678.9</v>
      </c>
      <c r="BD75" s="140">
        <f t="shared" si="47"/>
        <v>3872.24920567462</v>
      </c>
      <c r="BK75" s="140">
        <f t="shared" si="48"/>
        <v>683.5080963511626</v>
      </c>
    </row>
    <row r="76" spans="46:63" ht="15.75">
      <c r="AT76" s="140">
        <f t="shared" si="43"/>
        <v>382678.9</v>
      </c>
      <c r="BD76" s="140">
        <f t="shared" si="47"/>
        <v>3872.24920567462</v>
      </c>
      <c r="BK76" s="140">
        <f t="shared" si="48"/>
        <v>683.5080963511626</v>
      </c>
    </row>
    <row r="77" spans="46:63" ht="15.75">
      <c r="AT77" s="140">
        <f t="shared" si="43"/>
        <v>382678.9</v>
      </c>
      <c r="BD77" s="140">
        <f t="shared" si="47"/>
        <v>3872.24920567462</v>
      </c>
      <c r="BK77" s="140">
        <f t="shared" si="48"/>
        <v>683.5080963511626</v>
      </c>
    </row>
    <row r="78" spans="46:63" ht="15.75">
      <c r="AT78" s="140">
        <f t="shared" si="43"/>
        <v>382678.9</v>
      </c>
      <c r="BD78" s="140">
        <f t="shared" si="47"/>
        <v>3872.24920567462</v>
      </c>
      <c r="BK78" s="140">
        <f t="shared" si="48"/>
        <v>683.5080963511626</v>
      </c>
    </row>
    <row r="79" spans="46:63" ht="15.75">
      <c r="AT79" s="140">
        <f t="shared" si="43"/>
        <v>382678.9</v>
      </c>
      <c r="BD79" s="140">
        <f t="shared" si="47"/>
        <v>3872.24920567462</v>
      </c>
      <c r="BK79" s="140">
        <f t="shared" si="48"/>
        <v>683.5080963511626</v>
      </c>
    </row>
    <row r="80" spans="56:63" ht="15.75">
      <c r="BD80" s="140">
        <f t="shared" si="47"/>
        <v>3872.24920567462</v>
      </c>
      <c r="BK80" s="140">
        <f t="shared" si="48"/>
        <v>683.5080963511626</v>
      </c>
    </row>
    <row r="81" spans="56:63" ht="15.75">
      <c r="BD81" s="140">
        <f t="shared" si="47"/>
        <v>3872.24920567462</v>
      </c>
      <c r="BK81" s="140">
        <f t="shared" si="48"/>
        <v>683.5080963511626</v>
      </c>
    </row>
    <row r="82" spans="56:63" ht="15.75">
      <c r="BD82" s="140">
        <f t="shared" si="47"/>
        <v>3872.24920567462</v>
      </c>
      <c r="BK82" s="140">
        <f t="shared" si="48"/>
        <v>683.5080963511626</v>
      </c>
    </row>
    <row r="83" spans="56:63" ht="15.75">
      <c r="BD83" s="140">
        <f t="shared" si="47"/>
        <v>3872.24920567462</v>
      </c>
      <c r="BK83" s="140">
        <f t="shared" si="48"/>
        <v>683.5080963511626</v>
      </c>
    </row>
    <row r="84" spans="56:63" ht="15.75">
      <c r="BD84" s="140">
        <f t="shared" si="47"/>
        <v>3872.24920567462</v>
      </c>
      <c r="BK84" s="140">
        <f t="shared" si="48"/>
        <v>683.5080963511626</v>
      </c>
    </row>
    <row r="85" spans="56:63" ht="15.75">
      <c r="BD85" s="140">
        <f t="shared" si="47"/>
        <v>3872.24920567462</v>
      </c>
      <c r="BK85" s="140">
        <f t="shared" si="48"/>
        <v>683.5080963511626</v>
      </c>
    </row>
    <row r="86" spans="56:63" ht="15.75">
      <c r="BD86" s="140">
        <f t="shared" si="47"/>
        <v>3872.24920567462</v>
      </c>
      <c r="BK86" s="140">
        <f t="shared" si="48"/>
        <v>683.5080963511626</v>
      </c>
    </row>
    <row r="87" spans="56:63" ht="15.75">
      <c r="BD87" s="140">
        <f t="shared" si="47"/>
        <v>3872.24920567462</v>
      </c>
      <c r="BK87" s="140">
        <f t="shared" si="48"/>
        <v>683.5080963511626</v>
      </c>
    </row>
    <row r="88" spans="56:63" ht="15.75">
      <c r="BD88" s="140">
        <f t="shared" si="47"/>
        <v>3872.24920567462</v>
      </c>
      <c r="BK88" s="140">
        <f t="shared" si="48"/>
        <v>683.5080963511626</v>
      </c>
    </row>
    <row r="89" spans="56:63" ht="15.75">
      <c r="BD89" s="140">
        <f t="shared" si="47"/>
        <v>3872.24920567462</v>
      </c>
      <c r="BK89" s="140">
        <f t="shared" si="48"/>
        <v>683.5080963511626</v>
      </c>
    </row>
    <row r="90" spans="56:63" ht="15.75">
      <c r="BD90" s="140">
        <f t="shared" si="47"/>
        <v>3872.24920567462</v>
      </c>
      <c r="BK90" s="140">
        <f t="shared" si="48"/>
        <v>683.5080963511626</v>
      </c>
    </row>
    <row r="91" ht="15.75">
      <c r="BK91" s="140">
        <f t="shared" si="48"/>
        <v>683.5080963511626</v>
      </c>
    </row>
    <row r="92" ht="15.75">
      <c r="BK92" s="140">
        <f t="shared" si="48"/>
        <v>683.5080963511626</v>
      </c>
    </row>
    <row r="93" ht="15.75">
      <c r="BK93" s="140">
        <f t="shared" si="48"/>
        <v>683.5080963511626</v>
      </c>
    </row>
    <row r="94" ht="15.75">
      <c r="BK94" s="140">
        <f t="shared" si="48"/>
        <v>683.5080963511626</v>
      </c>
    </row>
    <row r="95" ht="15.75">
      <c r="BK95" s="140">
        <f t="shared" si="48"/>
        <v>683.5080963511626</v>
      </c>
    </row>
    <row r="96" ht="15.75">
      <c r="BK96" s="140">
        <f t="shared" si="48"/>
        <v>683.5080963511626</v>
      </c>
    </row>
    <row r="97" ht="15.75">
      <c r="BK97" s="140">
        <f t="shared" si="48"/>
        <v>683.5080963511626</v>
      </c>
    </row>
    <row r="98" ht="15.75">
      <c r="BK98" s="140">
        <f t="shared" si="48"/>
        <v>683.5080963511626</v>
      </c>
    </row>
    <row r="99" ht="15.75">
      <c r="BK99" s="140">
        <f t="shared" si="48"/>
        <v>683.5080963511626</v>
      </c>
    </row>
  </sheetData>
  <sheetProtection/>
  <mergeCells count="184">
    <mergeCell ref="DW8:DW9"/>
    <mergeCell ref="DZ8:DZ9"/>
    <mergeCell ref="EH7:EJ7"/>
    <mergeCell ref="EH8:EH9"/>
    <mergeCell ref="DX8:DX9"/>
    <mergeCell ref="DY8:DY9"/>
    <mergeCell ref="EI8:EI9"/>
    <mergeCell ref="EC8:EC9"/>
    <mergeCell ref="EH4:EJ6"/>
    <mergeCell ref="EJ8:EJ9"/>
    <mergeCell ref="DS8:DS9"/>
    <mergeCell ref="DU8:DU9"/>
    <mergeCell ref="EE4:EG6"/>
    <mergeCell ref="EE7:EG7"/>
    <mergeCell ref="EE8:EE9"/>
    <mergeCell ref="EG8:EG9"/>
    <mergeCell ref="EF8:EF9"/>
    <mergeCell ref="DV8:DV9"/>
    <mergeCell ref="EM8:EM9"/>
    <mergeCell ref="EK4:EM6"/>
    <mergeCell ref="EK7:EM7"/>
    <mergeCell ref="EK8:EK9"/>
    <mergeCell ref="EL8:EL9"/>
    <mergeCell ref="DY4:EA6"/>
    <mergeCell ref="DY7:EA7"/>
    <mergeCell ref="EB4:ED6"/>
    <mergeCell ref="DP8:DP9"/>
    <mergeCell ref="ED8:ED9"/>
    <mergeCell ref="EA8:EA9"/>
    <mergeCell ref="EB7:ED7"/>
    <mergeCell ref="EB8:EB9"/>
    <mergeCell ref="DR8:DR9"/>
    <mergeCell ref="DT8:DT9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CV8:CW8"/>
    <mergeCell ref="DF8:DG8"/>
    <mergeCell ref="BS7:BU7"/>
    <mergeCell ref="BS8:BS9"/>
    <mergeCell ref="BT8:BT9"/>
    <mergeCell ref="AW8:AW9"/>
    <mergeCell ref="BB8:BB9"/>
    <mergeCell ref="BF8:BF9"/>
    <mergeCell ref="BQ8:BQ9"/>
    <mergeCell ref="BP8:BP9"/>
    <mergeCell ref="BA8:BA9"/>
    <mergeCell ref="AY8:AZ8"/>
    <mergeCell ref="BJ8:BJ9"/>
    <mergeCell ref="CN8:CO8"/>
    <mergeCell ref="BD8:BD9"/>
    <mergeCell ref="BW8:BW9"/>
    <mergeCell ref="BO8:BO9"/>
    <mergeCell ref="BU8:BU9"/>
    <mergeCell ref="BV8:BV9"/>
    <mergeCell ref="BR8:BR9"/>
    <mergeCell ref="CX8:CY8"/>
    <mergeCell ref="CZ8:DA8"/>
    <mergeCell ref="BC8:BC9"/>
    <mergeCell ref="BX7:CM7"/>
    <mergeCell ref="BX8:BY8"/>
    <mergeCell ref="CF8:CG8"/>
    <mergeCell ref="CH8:CI8"/>
    <mergeCell ref="CJ8:CK8"/>
    <mergeCell ref="CD8:CE8"/>
    <mergeCell ref="CL8:CM8"/>
    <mergeCell ref="A4:A9"/>
    <mergeCell ref="B4:B9"/>
    <mergeCell ref="K4:N6"/>
    <mergeCell ref="O4:R6"/>
    <mergeCell ref="K7:N7"/>
    <mergeCell ref="I8:I9"/>
    <mergeCell ref="P8:P9"/>
    <mergeCell ref="Q8:Q9"/>
    <mergeCell ref="J8:J9"/>
    <mergeCell ref="L8:L9"/>
    <mergeCell ref="V8:V9"/>
    <mergeCell ref="W7:Z7"/>
    <mergeCell ref="Z8:Z9"/>
    <mergeCell ref="Y8:Y9"/>
    <mergeCell ref="X8:X9"/>
    <mergeCell ref="W8:W9"/>
    <mergeCell ref="S7:V7"/>
    <mergeCell ref="S8:S9"/>
    <mergeCell ref="O7:R7"/>
    <mergeCell ref="O8:O9"/>
    <mergeCell ref="G7:J7"/>
    <mergeCell ref="G8:G9"/>
    <mergeCell ref="H8:H9"/>
    <mergeCell ref="M8:M9"/>
    <mergeCell ref="N8:N9"/>
    <mergeCell ref="K8:K9"/>
    <mergeCell ref="R8:R9"/>
    <mergeCell ref="AD8:AD9"/>
    <mergeCell ref="AE8:AE9"/>
    <mergeCell ref="AI8:AI9"/>
    <mergeCell ref="AG8:AG9"/>
    <mergeCell ref="EP4:ER7"/>
    <mergeCell ref="EP8:EP9"/>
    <mergeCell ref="EQ8:EQ9"/>
    <mergeCell ref="ER8:ER9"/>
    <mergeCell ref="BN8:BN9"/>
    <mergeCell ref="BK8:BK9"/>
    <mergeCell ref="BL8:BL9"/>
    <mergeCell ref="AK8:AK9"/>
    <mergeCell ref="BE8:BE9"/>
    <mergeCell ref="AV8:AV9"/>
    <mergeCell ref="AM8:AM9"/>
    <mergeCell ref="AL8:AL9"/>
    <mergeCell ref="AO8:AO9"/>
    <mergeCell ref="BM8:BM9"/>
    <mergeCell ref="G4:J6"/>
    <mergeCell ref="AA4:AD6"/>
    <mergeCell ref="S4:V6"/>
    <mergeCell ref="BC4:BF6"/>
    <mergeCell ref="AJ4:AM6"/>
    <mergeCell ref="W4:Z6"/>
    <mergeCell ref="C4:D6"/>
    <mergeCell ref="E4:F6"/>
    <mergeCell ref="C8:C9"/>
    <mergeCell ref="D8:D9"/>
    <mergeCell ref="C7:D7"/>
    <mergeCell ref="E7:F7"/>
    <mergeCell ref="E8:E9"/>
    <mergeCell ref="F8:F9"/>
    <mergeCell ref="AT7:AW7"/>
    <mergeCell ref="AB8:AB9"/>
    <mergeCell ref="AA8:AA9"/>
    <mergeCell ref="T8:T9"/>
    <mergeCell ref="U8:U9"/>
    <mergeCell ref="AA7:AD7"/>
    <mergeCell ref="AF8:AF9"/>
    <mergeCell ref="AH8:AH9"/>
    <mergeCell ref="AJ8:AJ9"/>
    <mergeCell ref="AC8:AC9"/>
    <mergeCell ref="AT8:AT9"/>
    <mergeCell ref="AX8:AX9"/>
    <mergeCell ref="BV7:BW7"/>
    <mergeCell ref="AE4:AI6"/>
    <mergeCell ref="BN4:BR6"/>
    <mergeCell ref="BN7:BR7"/>
    <mergeCell ref="BC7:BF7"/>
    <mergeCell ref="AE7:AI7"/>
    <mergeCell ref="BS4:BU6"/>
    <mergeCell ref="BV4:BW6"/>
    <mergeCell ref="AJ7:AM7"/>
    <mergeCell ref="AN4:AQ6"/>
    <mergeCell ref="AT4:AW6"/>
    <mergeCell ref="DV4:DX6"/>
    <mergeCell ref="DV7:DX7"/>
    <mergeCell ref="DR4:DS6"/>
    <mergeCell ref="DR7:DS7"/>
    <mergeCell ref="DT4:DU6"/>
    <mergeCell ref="DT7:DU7"/>
    <mergeCell ref="AN7:AQ7"/>
    <mergeCell ref="AN8:AN9"/>
    <mergeCell ref="CR8:CS8"/>
    <mergeCell ref="BJ4:BM6"/>
    <mergeCell ref="BJ7:BM7"/>
    <mergeCell ref="AX4:BB6"/>
    <mergeCell ref="AX7:BB7"/>
    <mergeCell ref="AQ8:AQ9"/>
    <mergeCell ref="AU8:AU9"/>
    <mergeCell ref="AP8:AP9"/>
    <mergeCell ref="AS8:AS9"/>
    <mergeCell ref="EN4:EO6"/>
    <mergeCell ref="EN7:EO7"/>
    <mergeCell ref="EN8:EN9"/>
    <mergeCell ref="EO8:EO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61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квартал 2011 года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E1" sqref="E1:F25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5.25" customHeight="1">
      <c r="A1" s="328" t="s">
        <v>1</v>
      </c>
      <c r="B1" s="328" t="s">
        <v>2</v>
      </c>
      <c r="C1" s="328" t="s">
        <v>163</v>
      </c>
      <c r="D1" s="328" t="s">
        <v>164</v>
      </c>
      <c r="E1" s="679" t="s">
        <v>169</v>
      </c>
      <c r="F1" s="328" t="s">
        <v>280</v>
      </c>
      <c r="G1" s="328" t="s">
        <v>165</v>
      </c>
    </row>
    <row r="2" spans="1:7" ht="17.25" customHeight="1">
      <c r="A2" s="329">
        <v>1</v>
      </c>
      <c r="B2" s="329" t="s">
        <v>115</v>
      </c>
      <c r="C2" s="330">
        <v>17</v>
      </c>
      <c r="D2" s="331">
        <v>16</v>
      </c>
      <c r="E2" s="680">
        <v>17</v>
      </c>
      <c r="F2" s="682">
        <v>24</v>
      </c>
      <c r="G2" s="330">
        <f aca="true" t="shared" si="0" ref="G2:G25">E2-F2</f>
        <v>-7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680">
        <v>21</v>
      </c>
      <c r="F3" s="683">
        <v>20</v>
      </c>
      <c r="G3" s="330">
        <f t="shared" si="0"/>
        <v>1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680">
        <v>19</v>
      </c>
      <c r="F4" s="682">
        <v>9</v>
      </c>
      <c r="G4" s="330">
        <f t="shared" si="0"/>
        <v>10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680">
        <v>2</v>
      </c>
      <c r="F5" s="682">
        <v>4</v>
      </c>
      <c r="G5" s="330">
        <f t="shared" si="0"/>
        <v>-2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680">
        <v>16</v>
      </c>
      <c r="F6" s="682">
        <v>7</v>
      </c>
      <c r="G6" s="330">
        <f t="shared" si="0"/>
        <v>9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680">
        <v>14</v>
      </c>
      <c r="F7" s="682">
        <v>23</v>
      </c>
      <c r="G7" s="330">
        <f t="shared" si="0"/>
        <v>-9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680">
        <v>8</v>
      </c>
      <c r="F8" s="682">
        <v>10</v>
      </c>
      <c r="G8" s="330">
        <f t="shared" si="0"/>
        <v>-2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680">
        <v>23</v>
      </c>
      <c r="F9" s="683">
        <v>18</v>
      </c>
      <c r="G9" s="330">
        <f t="shared" si="0"/>
        <v>5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680">
        <v>6</v>
      </c>
      <c r="F10" s="682">
        <v>2</v>
      </c>
      <c r="G10" s="330">
        <f t="shared" si="0"/>
        <v>4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680">
        <v>7</v>
      </c>
      <c r="F11" s="682">
        <v>22</v>
      </c>
      <c r="G11" s="330">
        <f t="shared" si="0"/>
        <v>-15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680">
        <v>20</v>
      </c>
      <c r="F12" s="682">
        <v>14</v>
      </c>
      <c r="G12" s="330">
        <f t="shared" si="0"/>
        <v>6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680">
        <v>4</v>
      </c>
      <c r="F13" s="683">
        <v>17</v>
      </c>
      <c r="G13" s="330">
        <f t="shared" si="0"/>
        <v>-13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680">
        <v>15</v>
      </c>
      <c r="F14" s="682">
        <v>6</v>
      </c>
      <c r="G14" s="330">
        <f t="shared" si="0"/>
        <v>9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680">
        <v>13</v>
      </c>
      <c r="F15" s="682">
        <v>16</v>
      </c>
      <c r="G15" s="330">
        <f t="shared" si="0"/>
        <v>-3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680">
        <v>9</v>
      </c>
      <c r="F16" s="682">
        <v>8</v>
      </c>
      <c r="G16" s="330">
        <f t="shared" si="0"/>
        <v>1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680">
        <v>10</v>
      </c>
      <c r="F17" s="682">
        <v>1</v>
      </c>
      <c r="G17" s="330">
        <f t="shared" si="0"/>
        <v>9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680">
        <v>22</v>
      </c>
      <c r="F18" s="683">
        <v>19</v>
      </c>
      <c r="G18" s="330">
        <f t="shared" si="0"/>
        <v>3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680">
        <v>24</v>
      </c>
      <c r="F19" s="683">
        <v>21</v>
      </c>
      <c r="G19" s="330">
        <f t="shared" si="0"/>
        <v>3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680">
        <v>11</v>
      </c>
      <c r="F20" s="682">
        <v>13</v>
      </c>
      <c r="G20" s="330">
        <f t="shared" si="0"/>
        <v>-2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680">
        <v>1</v>
      </c>
      <c r="F21" s="683">
        <v>12</v>
      </c>
      <c r="G21" s="330">
        <f t="shared" si="0"/>
        <v>-11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680">
        <v>5</v>
      </c>
      <c r="F22" s="682">
        <v>3</v>
      </c>
      <c r="G22" s="330">
        <f t="shared" si="0"/>
        <v>2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680">
        <v>18</v>
      </c>
      <c r="F23" s="682">
        <v>11</v>
      </c>
      <c r="G23" s="330">
        <f t="shared" si="0"/>
        <v>7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680">
        <v>12</v>
      </c>
      <c r="F24" s="682">
        <v>15</v>
      </c>
      <c r="G24" s="330">
        <f t="shared" si="0"/>
        <v>-3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680">
        <v>3</v>
      </c>
      <c r="F25" s="684">
        <v>5</v>
      </c>
      <c r="G25" s="330">
        <f t="shared" si="0"/>
        <v>-2</v>
      </c>
    </row>
    <row r="26" spans="1:7" ht="12.75">
      <c r="A26" s="333"/>
      <c r="B26" s="334" t="s">
        <v>105</v>
      </c>
      <c r="C26" s="335" t="s">
        <v>166</v>
      </c>
      <c r="D26" s="336" t="s">
        <v>166</v>
      </c>
      <c r="E26" s="681" t="s">
        <v>166</v>
      </c>
      <c r="F26" s="337" t="s">
        <v>166</v>
      </c>
      <c r="G26" s="337" t="s">
        <v>166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2">
      <selection activeCell="O13" sqref="O13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6384" width="9.125" style="340" customWidth="1"/>
  </cols>
  <sheetData>
    <row r="1" ht="13.5" thickBot="1"/>
    <row r="2" spans="1:10" ht="12.75" customHeight="1">
      <c r="A2" s="917" t="s">
        <v>1</v>
      </c>
      <c r="B2" s="920" t="s">
        <v>167</v>
      </c>
      <c r="C2" s="917" t="s">
        <v>170</v>
      </c>
      <c r="D2" s="928"/>
      <c r="E2" s="920"/>
      <c r="F2" s="342"/>
      <c r="H2" s="902" t="s">
        <v>168</v>
      </c>
      <c r="I2" s="903"/>
      <c r="J2" s="904"/>
    </row>
    <row r="3" spans="1:10" ht="7.5" customHeight="1">
      <c r="A3" s="918"/>
      <c r="B3" s="921"/>
      <c r="C3" s="918"/>
      <c r="D3" s="929"/>
      <c r="E3" s="921"/>
      <c r="F3" s="342"/>
      <c r="H3" s="905"/>
      <c r="I3" s="906"/>
      <c r="J3" s="907"/>
    </row>
    <row r="4" spans="1:10" ht="12.75" hidden="1">
      <c r="A4" s="918"/>
      <c r="B4" s="921"/>
      <c r="C4" s="918"/>
      <c r="D4" s="929"/>
      <c r="E4" s="921"/>
      <c r="F4" s="342"/>
      <c r="H4" s="905"/>
      <c r="I4" s="906"/>
      <c r="J4" s="907"/>
    </row>
    <row r="5" spans="1:10" ht="9.75" customHeight="1">
      <c r="A5" s="918"/>
      <c r="B5" s="921"/>
      <c r="C5" s="930"/>
      <c r="D5" s="931"/>
      <c r="E5" s="932"/>
      <c r="F5" s="342"/>
      <c r="H5" s="908"/>
      <c r="I5" s="909"/>
      <c r="J5" s="910"/>
    </row>
    <row r="6" spans="1:10" ht="12.75" customHeight="1">
      <c r="A6" s="918"/>
      <c r="B6" s="921"/>
      <c r="C6" s="924" t="s">
        <v>107</v>
      </c>
      <c r="D6" s="926" t="s">
        <v>108</v>
      </c>
      <c r="E6" s="923" t="s">
        <v>110</v>
      </c>
      <c r="F6" s="342"/>
      <c r="H6" s="911" t="s">
        <v>107</v>
      </c>
      <c r="I6" s="913" t="s">
        <v>108</v>
      </c>
      <c r="J6" s="915" t="s">
        <v>110</v>
      </c>
    </row>
    <row r="7" spans="1:12" ht="57.75" customHeight="1" thickBot="1">
      <c r="A7" s="919"/>
      <c r="B7" s="922"/>
      <c r="C7" s="925"/>
      <c r="D7" s="927"/>
      <c r="E7" s="922"/>
      <c r="F7" s="342"/>
      <c r="H7" s="912"/>
      <c r="I7" s="914"/>
      <c r="J7" s="916"/>
      <c r="L7" s="343" t="s">
        <v>165</v>
      </c>
    </row>
    <row r="8" spans="1:12" ht="12.75">
      <c r="A8" s="344">
        <f aca="true" t="shared" si="0" ref="A8:A31">A7+1</f>
        <v>1</v>
      </c>
      <c r="B8" s="345" t="s">
        <v>115</v>
      </c>
      <c r="C8" s="346">
        <v>20.3009034855816</v>
      </c>
      <c r="D8" s="347">
        <v>17</v>
      </c>
      <c r="E8" s="348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</row>
    <row r="9" spans="1:12" ht="12.75">
      <c r="A9" s="354">
        <f t="shared" si="0"/>
        <v>2</v>
      </c>
      <c r="B9" s="355" t="s">
        <v>118</v>
      </c>
      <c r="C9" s="346">
        <v>20.94788285343631</v>
      </c>
      <c r="D9" s="356">
        <v>21</v>
      </c>
      <c r="E9" s="348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</row>
    <row r="10" spans="1:12" ht="12.75">
      <c r="A10" s="354">
        <f t="shared" si="0"/>
        <v>3</v>
      </c>
      <c r="B10" s="355" t="s">
        <v>120</v>
      </c>
      <c r="C10" s="346">
        <v>22.89823777907702</v>
      </c>
      <c r="D10" s="356">
        <v>19</v>
      </c>
      <c r="E10" s="348" t="s">
        <v>116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</row>
    <row r="11" spans="1:12" ht="12.75">
      <c r="A11" s="354">
        <f t="shared" si="0"/>
        <v>4</v>
      </c>
      <c r="B11" s="355" t="s">
        <v>121</v>
      </c>
      <c r="C11" s="346">
        <v>23.68286464453358</v>
      </c>
      <c r="D11" s="356">
        <v>2</v>
      </c>
      <c r="E11" s="348" t="s">
        <v>119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</row>
    <row r="12" spans="1:12" ht="12.75">
      <c r="A12" s="354">
        <f t="shared" si="0"/>
        <v>5</v>
      </c>
      <c r="B12" s="355" t="s">
        <v>122</v>
      </c>
      <c r="C12" s="346">
        <v>20.727964560599766</v>
      </c>
      <c r="D12" s="356">
        <v>16</v>
      </c>
      <c r="E12" s="34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</row>
    <row r="13" spans="1:12" ht="12.75">
      <c r="A13" s="354">
        <f t="shared" si="0"/>
        <v>6</v>
      </c>
      <c r="B13" s="355" t="s">
        <v>123</v>
      </c>
      <c r="C13" s="346">
        <v>21.324641060239564</v>
      </c>
      <c r="D13" s="356">
        <v>14</v>
      </c>
      <c r="E13" s="348" t="s">
        <v>117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</row>
    <row r="14" spans="1:12" ht="12.75">
      <c r="A14" s="354">
        <f t="shared" si="0"/>
        <v>7</v>
      </c>
      <c r="B14" s="355" t="s">
        <v>124</v>
      </c>
      <c r="C14" s="346">
        <v>22.201410392222645</v>
      </c>
      <c r="D14" s="356">
        <v>8</v>
      </c>
      <c r="E14" s="34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</row>
    <row r="15" spans="1:12" ht="12.75">
      <c r="A15" s="354">
        <f t="shared" si="0"/>
        <v>8</v>
      </c>
      <c r="B15" s="355" t="s">
        <v>125</v>
      </c>
      <c r="C15" s="346">
        <v>19.83964054628982</v>
      </c>
      <c r="D15" s="356">
        <v>23</v>
      </c>
      <c r="E15" s="348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</row>
    <row r="16" spans="1:12" ht="12.75">
      <c r="A16" s="354">
        <f t="shared" si="0"/>
        <v>9</v>
      </c>
      <c r="B16" s="355" t="s">
        <v>126</v>
      </c>
      <c r="C16" s="346">
        <v>22.354608989794855</v>
      </c>
      <c r="D16" s="356">
        <v>6</v>
      </c>
      <c r="E16" s="348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</row>
    <row r="17" spans="1:12" ht="12.75">
      <c r="A17" s="354">
        <f t="shared" si="0"/>
        <v>10</v>
      </c>
      <c r="B17" s="355" t="s">
        <v>127</v>
      </c>
      <c r="C17" s="346">
        <v>22.28579767269808</v>
      </c>
      <c r="D17" s="356">
        <v>7</v>
      </c>
      <c r="E17" s="34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</row>
    <row r="18" spans="1:12" ht="12.75">
      <c r="A18" s="354">
        <f t="shared" si="0"/>
        <v>11</v>
      </c>
      <c r="B18" s="355" t="s">
        <v>128</v>
      </c>
      <c r="C18" s="346">
        <v>21.28406506910028</v>
      </c>
      <c r="D18" s="356">
        <v>20</v>
      </c>
      <c r="E18" s="348" t="s">
        <v>116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</row>
    <row r="19" spans="1:12" ht="12.75">
      <c r="A19" s="354">
        <f t="shared" si="0"/>
        <v>12</v>
      </c>
      <c r="B19" s="355" t="s">
        <v>129</v>
      </c>
      <c r="C19" s="346">
        <v>23.200326869018454</v>
      </c>
      <c r="D19" s="356">
        <v>4</v>
      </c>
      <c r="E19" s="348" t="s">
        <v>117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</row>
    <row r="20" spans="1:12" ht="12.75">
      <c r="A20" s="354">
        <f t="shared" si="0"/>
        <v>13</v>
      </c>
      <c r="B20" s="355" t="s">
        <v>130</v>
      </c>
      <c r="C20" s="346">
        <v>21.197252457964836</v>
      </c>
      <c r="D20" s="356">
        <v>15</v>
      </c>
      <c r="E20" s="34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</row>
    <row r="21" spans="1:12" ht="12.75">
      <c r="A21" s="354">
        <f t="shared" si="0"/>
        <v>14</v>
      </c>
      <c r="B21" s="355" t="s">
        <v>131</v>
      </c>
      <c r="C21" s="346">
        <v>21.545696582639835</v>
      </c>
      <c r="D21" s="356">
        <v>13</v>
      </c>
      <c r="E21" s="34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</row>
    <row r="22" spans="1:12" ht="12.75">
      <c r="A22" s="354">
        <f t="shared" si="0"/>
        <v>15</v>
      </c>
      <c r="B22" s="355" t="s">
        <v>132</v>
      </c>
      <c r="C22" s="346">
        <v>22.12619982637446</v>
      </c>
      <c r="D22" s="356">
        <v>9</v>
      </c>
      <c r="E22" s="348" t="s">
        <v>117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</row>
    <row r="23" spans="1:12" ht="12.75">
      <c r="A23" s="354">
        <f t="shared" si="0"/>
        <v>16</v>
      </c>
      <c r="B23" s="355" t="s">
        <v>133</v>
      </c>
      <c r="C23" s="346">
        <v>22.003913579326042</v>
      </c>
      <c r="D23" s="356">
        <v>10</v>
      </c>
      <c r="E23" s="348" t="s">
        <v>117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</row>
    <row r="24" spans="1:12" ht="12.75">
      <c r="A24" s="354">
        <f t="shared" si="0"/>
        <v>17</v>
      </c>
      <c r="B24" s="355" t="s">
        <v>134</v>
      </c>
      <c r="C24" s="346">
        <v>20.75320703499068</v>
      </c>
      <c r="D24" s="356">
        <v>22</v>
      </c>
      <c r="E24" s="348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</row>
    <row r="25" spans="1:12" ht="12.75">
      <c r="A25" s="354">
        <f t="shared" si="0"/>
        <v>18</v>
      </c>
      <c r="B25" s="355" t="s">
        <v>135</v>
      </c>
      <c r="C25" s="346">
        <v>19.740985861303372</v>
      </c>
      <c r="D25" s="356">
        <v>24</v>
      </c>
      <c r="E25" s="348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</row>
    <row r="26" spans="1:12" ht="12.75">
      <c r="A26" s="354">
        <f t="shared" si="0"/>
        <v>19</v>
      </c>
      <c r="B26" s="355" t="s">
        <v>136</v>
      </c>
      <c r="C26" s="346">
        <v>21.97765124385201</v>
      </c>
      <c r="D26" s="356">
        <v>11</v>
      </c>
      <c r="E26" s="34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</row>
    <row r="27" spans="1:12" ht="12.75">
      <c r="A27" s="354">
        <f t="shared" si="0"/>
        <v>20</v>
      </c>
      <c r="B27" s="355" t="s">
        <v>137</v>
      </c>
      <c r="C27" s="346">
        <v>24.399098082404016</v>
      </c>
      <c r="D27" s="356">
        <v>1</v>
      </c>
      <c r="E27" s="348" t="s">
        <v>119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</row>
    <row r="28" spans="1:12" ht="12.75">
      <c r="A28" s="354">
        <f t="shared" si="0"/>
        <v>21</v>
      </c>
      <c r="B28" s="355" t="s">
        <v>138</v>
      </c>
      <c r="C28" s="346">
        <v>23.126098926315844</v>
      </c>
      <c r="D28" s="356">
        <v>5</v>
      </c>
      <c r="E28" s="348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</row>
    <row r="29" spans="1:12" ht="12.75">
      <c r="A29" s="354">
        <f t="shared" si="0"/>
        <v>22</v>
      </c>
      <c r="B29" s="355" t="s">
        <v>139</v>
      </c>
      <c r="C29" s="346">
        <v>20.244699851664663</v>
      </c>
      <c r="D29" s="356">
        <v>18</v>
      </c>
      <c r="E29" s="348" t="s">
        <v>116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</row>
    <row r="30" spans="1:12" ht="25.5">
      <c r="A30" s="354">
        <f t="shared" si="0"/>
        <v>23</v>
      </c>
      <c r="B30" s="355" t="s">
        <v>140</v>
      </c>
      <c r="C30" s="346">
        <v>21.894669014050322</v>
      </c>
      <c r="D30" s="356">
        <v>12</v>
      </c>
      <c r="E30" s="34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</row>
    <row r="31" spans="1:12" ht="12.75">
      <c r="A31" s="354">
        <f t="shared" si="0"/>
        <v>24</v>
      </c>
      <c r="B31" s="355" t="s">
        <v>141</v>
      </c>
      <c r="C31" s="346">
        <v>23.403887077031523</v>
      </c>
      <c r="D31" s="356">
        <v>3</v>
      </c>
      <c r="E31" s="34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</row>
    <row r="32" spans="1:12" ht="13.5" thickBot="1">
      <c r="A32" s="358"/>
      <c r="B32" s="359" t="s">
        <v>105</v>
      </c>
      <c r="C32" s="360">
        <f>SUM(C8:C31)/24</f>
        <v>21.810904310854568</v>
      </c>
      <c r="D32" s="361" t="s">
        <v>142</v>
      </c>
      <c r="E32" s="362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166</v>
      </c>
    </row>
  </sheetData>
  <sheetProtection/>
  <mergeCells count="10">
    <mergeCell ref="A2:A7"/>
    <mergeCell ref="B2:B7"/>
    <mergeCell ref="E6:E7"/>
    <mergeCell ref="C6:C7"/>
    <mergeCell ref="D6:D7"/>
    <mergeCell ref="C2:E5"/>
    <mergeCell ref="H2:J5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T99"/>
  <sheetViews>
    <sheetView view="pageBreakPreview" zoomScale="70" zoomScaleNormal="90" zoomScaleSheetLayoutView="70" zoomScalePageLayoutView="0" workbookViewId="0" topLeftCell="A4">
      <pane xSplit="2" ySplit="6" topLeftCell="CM22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8.625" style="138" bestFit="1" customWidth="1"/>
    <col min="2" max="2" width="19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8.75390625" style="3" hidden="1" customWidth="1"/>
    <col min="45" max="45" width="12.375" style="3" hidden="1" customWidth="1"/>
    <col min="46" max="46" width="0.12890625" style="3" customWidth="1"/>
    <col min="47" max="47" width="18.375" style="3" hidden="1" customWidth="1"/>
    <col min="48" max="48" width="13.625" style="3" customWidth="1"/>
    <col min="49" max="49" width="9.375" style="3" customWidth="1"/>
    <col min="50" max="50" width="17.7539062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625" style="3" customWidth="1"/>
    <col min="56" max="56" width="11.2539062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7.25390625" style="3" hidden="1" customWidth="1"/>
    <col min="61" max="61" width="8.25390625" style="3" hidden="1" customWidth="1"/>
    <col min="62" max="62" width="0.12890625" style="3" customWidth="1"/>
    <col min="63" max="63" width="20.875" style="3" hidden="1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6.625" style="3" hidden="1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hidden="1" customWidth="1"/>
    <col min="77" max="77" width="9.37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375" style="3" hidden="1" customWidth="1"/>
    <col min="88" max="88" width="14.25390625" style="3" hidden="1" customWidth="1"/>
    <col min="89" max="89" width="15.37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0.12890625" style="3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17.00390625" style="3" hidden="1" customWidth="1"/>
    <col min="105" max="105" width="11.75390625" style="3" hidden="1" customWidth="1"/>
    <col min="106" max="106" width="20.00390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879" t="s">
        <v>1</v>
      </c>
      <c r="B4" s="880" t="s">
        <v>2</v>
      </c>
      <c r="C4" s="852" t="s">
        <v>3</v>
      </c>
      <c r="D4" s="861"/>
      <c r="E4" s="852" t="s">
        <v>4</v>
      </c>
      <c r="F4" s="865"/>
      <c r="G4" s="793" t="s">
        <v>5</v>
      </c>
      <c r="H4" s="849"/>
      <c r="I4" s="849"/>
      <c r="J4" s="776"/>
      <c r="K4" s="852" t="s">
        <v>6</v>
      </c>
      <c r="L4" s="849"/>
      <c r="M4" s="849"/>
      <c r="N4" s="861"/>
      <c r="O4" s="852" t="s">
        <v>7</v>
      </c>
      <c r="P4" s="849"/>
      <c r="Q4" s="849"/>
      <c r="R4" s="861"/>
      <c r="S4" s="852" t="s">
        <v>8</v>
      </c>
      <c r="T4" s="849"/>
      <c r="U4" s="849"/>
      <c r="V4" s="861"/>
      <c r="W4" s="852" t="s">
        <v>9</v>
      </c>
      <c r="X4" s="849"/>
      <c r="Y4" s="849"/>
      <c r="Z4" s="861"/>
      <c r="AA4" s="852" t="s">
        <v>171</v>
      </c>
      <c r="AB4" s="849"/>
      <c r="AC4" s="849"/>
      <c r="AD4" s="861"/>
      <c r="AE4" s="852" t="s">
        <v>10</v>
      </c>
      <c r="AF4" s="849"/>
      <c r="AG4" s="849"/>
      <c r="AH4" s="849"/>
      <c r="AI4" s="861"/>
      <c r="AJ4" s="852" t="s">
        <v>11</v>
      </c>
      <c r="AK4" s="849"/>
      <c r="AL4" s="849"/>
      <c r="AM4" s="776"/>
      <c r="AN4" s="849" t="s">
        <v>12</v>
      </c>
      <c r="AO4" s="849"/>
      <c r="AP4" s="849"/>
      <c r="AQ4" s="849"/>
      <c r="AR4" s="7"/>
      <c r="AS4" s="7"/>
      <c r="AT4" s="849" t="s">
        <v>13</v>
      </c>
      <c r="AU4" s="849"/>
      <c r="AV4" s="849"/>
      <c r="AW4" s="849"/>
      <c r="AX4" s="849" t="s">
        <v>14</v>
      </c>
      <c r="AY4" s="849"/>
      <c r="AZ4" s="849"/>
      <c r="BA4" s="849"/>
      <c r="BB4" s="849"/>
      <c r="BC4" s="849" t="s">
        <v>15</v>
      </c>
      <c r="BD4" s="849"/>
      <c r="BE4" s="849"/>
      <c r="BF4" s="849"/>
      <c r="BG4" s="6"/>
      <c r="BH4" s="7"/>
      <c r="BI4" s="7"/>
      <c r="BJ4" s="849" t="s">
        <v>16</v>
      </c>
      <c r="BK4" s="849"/>
      <c r="BL4" s="849"/>
      <c r="BM4" s="849"/>
      <c r="BN4" s="849" t="s">
        <v>17</v>
      </c>
      <c r="BO4" s="849"/>
      <c r="BP4" s="849"/>
      <c r="BQ4" s="849"/>
      <c r="BR4" s="849"/>
      <c r="BS4" s="886" t="s">
        <v>18</v>
      </c>
      <c r="BT4" s="886"/>
      <c r="BU4" s="886"/>
      <c r="BV4" s="849" t="s">
        <v>19</v>
      </c>
      <c r="BW4" s="776"/>
      <c r="BX4" s="852" t="s">
        <v>20</v>
      </c>
      <c r="BY4" s="849"/>
      <c r="BZ4" s="849"/>
      <c r="CA4" s="849"/>
      <c r="CB4" s="849"/>
      <c r="CC4" s="849"/>
      <c r="CD4" s="849"/>
      <c r="CE4" s="849"/>
      <c r="CF4" s="849"/>
      <c r="CG4" s="849"/>
      <c r="CH4" s="849"/>
      <c r="CI4" s="849"/>
      <c r="CJ4" s="849"/>
      <c r="CK4" s="849"/>
      <c r="CL4" s="849"/>
      <c r="CM4" s="861"/>
      <c r="CN4" s="793" t="s">
        <v>21</v>
      </c>
      <c r="CO4" s="849"/>
      <c r="CP4" s="849"/>
      <c r="CQ4" s="849"/>
      <c r="CR4" s="849"/>
      <c r="CS4" s="849"/>
      <c r="CT4" s="849"/>
      <c r="CU4" s="849"/>
      <c r="CV4" s="849"/>
      <c r="CW4" s="849"/>
      <c r="CX4" s="849"/>
      <c r="CY4" s="849"/>
      <c r="CZ4" s="849"/>
      <c r="DA4" s="849"/>
      <c r="DB4" s="849"/>
      <c r="DC4" s="776"/>
      <c r="DD4" s="852" t="s">
        <v>22</v>
      </c>
      <c r="DE4" s="849"/>
      <c r="DF4" s="849"/>
      <c r="DG4" s="849"/>
      <c r="DH4" s="849"/>
      <c r="DI4" s="849"/>
      <c r="DJ4" s="849"/>
      <c r="DK4" s="849"/>
      <c r="DL4" s="849"/>
      <c r="DM4" s="849"/>
      <c r="DN4" s="849"/>
      <c r="DO4" s="861"/>
      <c r="DP4" s="852" t="s">
        <v>23</v>
      </c>
      <c r="DQ4" s="861"/>
      <c r="DR4" s="852" t="s">
        <v>24</v>
      </c>
      <c r="DS4" s="861"/>
      <c r="DT4" s="793" t="s">
        <v>25</v>
      </c>
      <c r="DU4" s="776"/>
      <c r="DV4" s="849" t="s">
        <v>26</v>
      </c>
      <c r="DW4" s="849"/>
      <c r="DX4" s="861"/>
      <c r="DY4" s="852" t="s">
        <v>27</v>
      </c>
      <c r="DZ4" s="849"/>
      <c r="EA4" s="861"/>
      <c r="EB4" s="793" t="s">
        <v>28</v>
      </c>
      <c r="EC4" s="849"/>
      <c r="ED4" s="849"/>
      <c r="EE4" s="849" t="s">
        <v>29</v>
      </c>
      <c r="EF4" s="849"/>
      <c r="EG4" s="849"/>
      <c r="EH4" s="849" t="s">
        <v>30</v>
      </c>
      <c r="EI4" s="849"/>
      <c r="EJ4" s="776"/>
      <c r="EK4" s="852" t="s">
        <v>31</v>
      </c>
      <c r="EL4" s="849"/>
      <c r="EM4" s="861"/>
      <c r="EN4" s="787" t="s">
        <v>160</v>
      </c>
      <c r="EO4" s="788"/>
      <c r="EP4" s="852" t="s">
        <v>32</v>
      </c>
      <c r="EQ4" s="849"/>
      <c r="ER4" s="849"/>
      <c r="ES4" s="861"/>
    </row>
    <row r="5" spans="1:149" s="11" customFormat="1" ht="15.75">
      <c r="A5" s="866"/>
      <c r="B5" s="881"/>
      <c r="C5" s="862"/>
      <c r="D5" s="863"/>
      <c r="E5" s="866"/>
      <c r="F5" s="867"/>
      <c r="G5" s="769"/>
      <c r="H5" s="850"/>
      <c r="I5" s="850"/>
      <c r="J5" s="770"/>
      <c r="K5" s="862"/>
      <c r="L5" s="850"/>
      <c r="M5" s="850"/>
      <c r="N5" s="863"/>
      <c r="O5" s="862"/>
      <c r="P5" s="850"/>
      <c r="Q5" s="850"/>
      <c r="R5" s="863"/>
      <c r="S5" s="862"/>
      <c r="T5" s="850"/>
      <c r="U5" s="850"/>
      <c r="V5" s="863"/>
      <c r="W5" s="862"/>
      <c r="X5" s="850"/>
      <c r="Y5" s="850"/>
      <c r="Z5" s="863"/>
      <c r="AA5" s="862"/>
      <c r="AB5" s="850"/>
      <c r="AC5" s="850"/>
      <c r="AD5" s="863"/>
      <c r="AE5" s="862"/>
      <c r="AF5" s="850"/>
      <c r="AG5" s="850"/>
      <c r="AH5" s="850"/>
      <c r="AI5" s="863"/>
      <c r="AJ5" s="862"/>
      <c r="AK5" s="850"/>
      <c r="AL5" s="850"/>
      <c r="AM5" s="770"/>
      <c r="AN5" s="850"/>
      <c r="AO5" s="850"/>
      <c r="AP5" s="850"/>
      <c r="AQ5" s="850"/>
      <c r="AR5" s="10"/>
      <c r="AS5" s="10"/>
      <c r="AT5" s="850"/>
      <c r="AU5" s="850"/>
      <c r="AV5" s="850"/>
      <c r="AW5" s="850"/>
      <c r="AX5" s="850"/>
      <c r="AY5" s="850"/>
      <c r="AZ5" s="850"/>
      <c r="BA5" s="850"/>
      <c r="BB5" s="850"/>
      <c r="BC5" s="850"/>
      <c r="BD5" s="850"/>
      <c r="BE5" s="850"/>
      <c r="BF5" s="850"/>
      <c r="BG5" s="9"/>
      <c r="BH5" s="10"/>
      <c r="BI5" s="10"/>
      <c r="BJ5" s="850"/>
      <c r="BK5" s="850"/>
      <c r="BL5" s="850"/>
      <c r="BM5" s="850"/>
      <c r="BN5" s="850"/>
      <c r="BO5" s="850"/>
      <c r="BP5" s="850"/>
      <c r="BQ5" s="850"/>
      <c r="BR5" s="850"/>
      <c r="BS5" s="887"/>
      <c r="BT5" s="887"/>
      <c r="BU5" s="887"/>
      <c r="BV5" s="850"/>
      <c r="BW5" s="770"/>
      <c r="BX5" s="862"/>
      <c r="BY5" s="850"/>
      <c r="BZ5" s="850"/>
      <c r="CA5" s="850"/>
      <c r="CB5" s="850"/>
      <c r="CC5" s="850"/>
      <c r="CD5" s="850"/>
      <c r="CE5" s="850"/>
      <c r="CF5" s="850"/>
      <c r="CG5" s="850"/>
      <c r="CH5" s="850"/>
      <c r="CI5" s="850"/>
      <c r="CJ5" s="850"/>
      <c r="CK5" s="850"/>
      <c r="CL5" s="850"/>
      <c r="CM5" s="863"/>
      <c r="CN5" s="769"/>
      <c r="CO5" s="850"/>
      <c r="CP5" s="850"/>
      <c r="CQ5" s="850"/>
      <c r="CR5" s="850"/>
      <c r="CS5" s="850"/>
      <c r="CT5" s="850"/>
      <c r="CU5" s="850"/>
      <c r="CV5" s="850"/>
      <c r="CW5" s="850"/>
      <c r="CX5" s="850"/>
      <c r="CY5" s="850"/>
      <c r="CZ5" s="850"/>
      <c r="DA5" s="850"/>
      <c r="DB5" s="850"/>
      <c r="DC5" s="770"/>
      <c r="DD5" s="862"/>
      <c r="DE5" s="850"/>
      <c r="DF5" s="850"/>
      <c r="DG5" s="850"/>
      <c r="DH5" s="850"/>
      <c r="DI5" s="850"/>
      <c r="DJ5" s="850"/>
      <c r="DK5" s="850"/>
      <c r="DL5" s="850"/>
      <c r="DM5" s="850"/>
      <c r="DN5" s="850"/>
      <c r="DO5" s="863"/>
      <c r="DP5" s="862"/>
      <c r="DQ5" s="863"/>
      <c r="DR5" s="862"/>
      <c r="DS5" s="863"/>
      <c r="DT5" s="769"/>
      <c r="DU5" s="770"/>
      <c r="DV5" s="850"/>
      <c r="DW5" s="850"/>
      <c r="DX5" s="863"/>
      <c r="DY5" s="862"/>
      <c r="DZ5" s="850"/>
      <c r="EA5" s="863"/>
      <c r="EB5" s="769"/>
      <c r="EC5" s="850"/>
      <c r="ED5" s="850"/>
      <c r="EE5" s="850"/>
      <c r="EF5" s="850"/>
      <c r="EG5" s="850"/>
      <c r="EH5" s="850"/>
      <c r="EI5" s="850"/>
      <c r="EJ5" s="770"/>
      <c r="EK5" s="862"/>
      <c r="EL5" s="850"/>
      <c r="EM5" s="863"/>
      <c r="EN5" s="789"/>
      <c r="EO5" s="790"/>
      <c r="EP5" s="862"/>
      <c r="EQ5" s="850"/>
      <c r="ER5" s="850"/>
      <c r="ES5" s="863"/>
    </row>
    <row r="6" spans="1:149" s="16" customFormat="1" ht="153" customHeight="1" thickBot="1">
      <c r="A6" s="866"/>
      <c r="B6" s="881"/>
      <c r="C6" s="853"/>
      <c r="D6" s="864"/>
      <c r="E6" s="868"/>
      <c r="F6" s="869"/>
      <c r="G6" s="771"/>
      <c r="H6" s="851"/>
      <c r="I6" s="851"/>
      <c r="J6" s="772"/>
      <c r="K6" s="853"/>
      <c r="L6" s="851"/>
      <c r="M6" s="851"/>
      <c r="N6" s="864"/>
      <c r="O6" s="853"/>
      <c r="P6" s="851"/>
      <c r="Q6" s="851"/>
      <c r="R6" s="864"/>
      <c r="S6" s="853"/>
      <c r="T6" s="851"/>
      <c r="U6" s="851"/>
      <c r="V6" s="864"/>
      <c r="W6" s="853"/>
      <c r="X6" s="851"/>
      <c r="Y6" s="851"/>
      <c r="Z6" s="864"/>
      <c r="AA6" s="853"/>
      <c r="AB6" s="851"/>
      <c r="AC6" s="851"/>
      <c r="AD6" s="864"/>
      <c r="AE6" s="853"/>
      <c r="AF6" s="851"/>
      <c r="AG6" s="851"/>
      <c r="AH6" s="851"/>
      <c r="AI6" s="864"/>
      <c r="AJ6" s="853"/>
      <c r="AK6" s="851"/>
      <c r="AL6" s="851"/>
      <c r="AM6" s="772"/>
      <c r="AN6" s="851"/>
      <c r="AO6" s="851"/>
      <c r="AP6" s="851"/>
      <c r="AQ6" s="851"/>
      <c r="AR6" s="15"/>
      <c r="AS6" s="15"/>
      <c r="AT6" s="851"/>
      <c r="AU6" s="851"/>
      <c r="AV6" s="851"/>
      <c r="AW6" s="851"/>
      <c r="AX6" s="851"/>
      <c r="AY6" s="851"/>
      <c r="AZ6" s="851"/>
      <c r="BA6" s="851"/>
      <c r="BB6" s="851"/>
      <c r="BC6" s="851"/>
      <c r="BD6" s="851"/>
      <c r="BE6" s="851"/>
      <c r="BF6" s="851"/>
      <c r="BG6" s="14"/>
      <c r="BH6" s="15"/>
      <c r="BI6" s="15"/>
      <c r="BJ6" s="851"/>
      <c r="BK6" s="851"/>
      <c r="BL6" s="851"/>
      <c r="BM6" s="851"/>
      <c r="BN6" s="851"/>
      <c r="BO6" s="851"/>
      <c r="BP6" s="851"/>
      <c r="BQ6" s="851"/>
      <c r="BR6" s="851"/>
      <c r="BS6" s="888"/>
      <c r="BT6" s="888"/>
      <c r="BU6" s="888"/>
      <c r="BV6" s="851"/>
      <c r="BW6" s="772"/>
      <c r="BX6" s="853"/>
      <c r="BY6" s="851"/>
      <c r="BZ6" s="851"/>
      <c r="CA6" s="851"/>
      <c r="CB6" s="851"/>
      <c r="CC6" s="851"/>
      <c r="CD6" s="851"/>
      <c r="CE6" s="851"/>
      <c r="CF6" s="851"/>
      <c r="CG6" s="851"/>
      <c r="CH6" s="851"/>
      <c r="CI6" s="851"/>
      <c r="CJ6" s="851"/>
      <c r="CK6" s="851"/>
      <c r="CL6" s="851"/>
      <c r="CM6" s="864"/>
      <c r="CN6" s="771"/>
      <c r="CO6" s="851"/>
      <c r="CP6" s="851"/>
      <c r="CQ6" s="851"/>
      <c r="CR6" s="851"/>
      <c r="CS6" s="851"/>
      <c r="CT6" s="851"/>
      <c r="CU6" s="851"/>
      <c r="CV6" s="851"/>
      <c r="CW6" s="851"/>
      <c r="CX6" s="851"/>
      <c r="CY6" s="851"/>
      <c r="CZ6" s="851"/>
      <c r="DA6" s="851"/>
      <c r="DB6" s="851"/>
      <c r="DC6" s="772"/>
      <c r="DD6" s="853"/>
      <c r="DE6" s="851"/>
      <c r="DF6" s="851"/>
      <c r="DG6" s="851"/>
      <c r="DH6" s="851"/>
      <c r="DI6" s="851"/>
      <c r="DJ6" s="851"/>
      <c r="DK6" s="851"/>
      <c r="DL6" s="851"/>
      <c r="DM6" s="851"/>
      <c r="DN6" s="851"/>
      <c r="DO6" s="864"/>
      <c r="DP6" s="853"/>
      <c r="DQ6" s="864"/>
      <c r="DR6" s="853"/>
      <c r="DS6" s="864"/>
      <c r="DT6" s="771"/>
      <c r="DU6" s="772"/>
      <c r="DV6" s="851"/>
      <c r="DW6" s="851"/>
      <c r="DX6" s="864"/>
      <c r="DY6" s="853"/>
      <c r="DZ6" s="851"/>
      <c r="EA6" s="864"/>
      <c r="EB6" s="771"/>
      <c r="EC6" s="851"/>
      <c r="ED6" s="851"/>
      <c r="EE6" s="851"/>
      <c r="EF6" s="851"/>
      <c r="EG6" s="851"/>
      <c r="EH6" s="851"/>
      <c r="EI6" s="851"/>
      <c r="EJ6" s="772"/>
      <c r="EK6" s="853"/>
      <c r="EL6" s="851"/>
      <c r="EM6" s="864"/>
      <c r="EN6" s="777"/>
      <c r="EO6" s="778"/>
      <c r="EP6" s="862"/>
      <c r="EQ6" s="850"/>
      <c r="ER6" s="850"/>
      <c r="ES6" s="863"/>
    </row>
    <row r="7" spans="1:149" s="16" customFormat="1" ht="16.5" thickBot="1">
      <c r="A7" s="866"/>
      <c r="B7" s="881"/>
      <c r="C7" s="933" t="s">
        <v>33</v>
      </c>
      <c r="D7" s="935"/>
      <c r="E7" s="933" t="s">
        <v>34</v>
      </c>
      <c r="F7" s="935"/>
      <c r="G7" s="936" t="s">
        <v>35</v>
      </c>
      <c r="H7" s="934"/>
      <c r="I7" s="934"/>
      <c r="J7" s="937"/>
      <c r="K7" s="933" t="s">
        <v>36</v>
      </c>
      <c r="L7" s="934"/>
      <c r="M7" s="934"/>
      <c r="N7" s="935"/>
      <c r="O7" s="933" t="s">
        <v>37</v>
      </c>
      <c r="P7" s="934"/>
      <c r="Q7" s="934"/>
      <c r="R7" s="935"/>
      <c r="S7" s="933" t="s">
        <v>38</v>
      </c>
      <c r="T7" s="934"/>
      <c r="U7" s="934"/>
      <c r="V7" s="935"/>
      <c r="W7" s="933" t="s">
        <v>39</v>
      </c>
      <c r="X7" s="934"/>
      <c r="Y7" s="934"/>
      <c r="Z7" s="935"/>
      <c r="AA7" s="933" t="s">
        <v>40</v>
      </c>
      <c r="AB7" s="934"/>
      <c r="AC7" s="934"/>
      <c r="AD7" s="935"/>
      <c r="AE7" s="933" t="s">
        <v>41</v>
      </c>
      <c r="AF7" s="934"/>
      <c r="AG7" s="934"/>
      <c r="AH7" s="934"/>
      <c r="AI7" s="935"/>
      <c r="AJ7" s="933" t="s">
        <v>42</v>
      </c>
      <c r="AK7" s="934"/>
      <c r="AL7" s="934"/>
      <c r="AM7" s="937"/>
      <c r="AN7" s="934" t="s">
        <v>43</v>
      </c>
      <c r="AO7" s="934"/>
      <c r="AP7" s="934"/>
      <c r="AQ7" s="934"/>
      <c r="AR7" s="376"/>
      <c r="AS7" s="376"/>
      <c r="AT7" s="934" t="s">
        <v>44</v>
      </c>
      <c r="AU7" s="934"/>
      <c r="AV7" s="934"/>
      <c r="AW7" s="934"/>
      <c r="AX7" s="934" t="s">
        <v>45</v>
      </c>
      <c r="AY7" s="934"/>
      <c r="AZ7" s="934"/>
      <c r="BA7" s="934"/>
      <c r="BB7" s="934"/>
      <c r="BC7" s="934" t="s">
        <v>46</v>
      </c>
      <c r="BD7" s="934"/>
      <c r="BE7" s="934"/>
      <c r="BF7" s="934"/>
      <c r="BG7" s="375"/>
      <c r="BH7" s="376"/>
      <c r="BI7" s="376"/>
      <c r="BJ7" s="934" t="s">
        <v>47</v>
      </c>
      <c r="BK7" s="934"/>
      <c r="BL7" s="934"/>
      <c r="BM7" s="934"/>
      <c r="BN7" s="934" t="s">
        <v>48</v>
      </c>
      <c r="BO7" s="934"/>
      <c r="BP7" s="934"/>
      <c r="BQ7" s="934"/>
      <c r="BR7" s="934"/>
      <c r="BS7" s="934" t="s">
        <v>49</v>
      </c>
      <c r="BT7" s="934"/>
      <c r="BU7" s="934"/>
      <c r="BV7" s="934" t="s">
        <v>50</v>
      </c>
      <c r="BW7" s="937"/>
      <c r="BX7" s="933" t="s">
        <v>51</v>
      </c>
      <c r="BY7" s="934"/>
      <c r="BZ7" s="934"/>
      <c r="CA7" s="934"/>
      <c r="CB7" s="934"/>
      <c r="CC7" s="934"/>
      <c r="CD7" s="934"/>
      <c r="CE7" s="934"/>
      <c r="CF7" s="934"/>
      <c r="CG7" s="934"/>
      <c r="CH7" s="934"/>
      <c r="CI7" s="934"/>
      <c r="CJ7" s="934"/>
      <c r="CK7" s="934"/>
      <c r="CL7" s="934"/>
      <c r="CM7" s="935"/>
      <c r="CN7" s="936" t="s">
        <v>52</v>
      </c>
      <c r="CO7" s="934"/>
      <c r="CP7" s="934"/>
      <c r="CQ7" s="934"/>
      <c r="CR7" s="934"/>
      <c r="CS7" s="934"/>
      <c r="CT7" s="934"/>
      <c r="CU7" s="934"/>
      <c r="CV7" s="934"/>
      <c r="CW7" s="934"/>
      <c r="CX7" s="934"/>
      <c r="CY7" s="934"/>
      <c r="CZ7" s="934"/>
      <c r="DA7" s="934"/>
      <c r="DB7" s="934"/>
      <c r="DC7" s="937"/>
      <c r="DD7" s="933" t="s">
        <v>53</v>
      </c>
      <c r="DE7" s="934"/>
      <c r="DF7" s="934"/>
      <c r="DG7" s="934"/>
      <c r="DH7" s="934"/>
      <c r="DI7" s="934"/>
      <c r="DJ7" s="934"/>
      <c r="DK7" s="934"/>
      <c r="DL7" s="934"/>
      <c r="DM7" s="934"/>
      <c r="DN7" s="934"/>
      <c r="DO7" s="935"/>
      <c r="DP7" s="933" t="s">
        <v>54</v>
      </c>
      <c r="DQ7" s="935"/>
      <c r="DR7" s="933" t="s">
        <v>55</v>
      </c>
      <c r="DS7" s="935"/>
      <c r="DT7" s="936" t="s">
        <v>56</v>
      </c>
      <c r="DU7" s="937"/>
      <c r="DV7" s="934" t="s">
        <v>57</v>
      </c>
      <c r="DW7" s="934"/>
      <c r="DX7" s="935"/>
      <c r="DY7" s="933" t="s">
        <v>58</v>
      </c>
      <c r="DZ7" s="934"/>
      <c r="EA7" s="935"/>
      <c r="EB7" s="936" t="s">
        <v>59</v>
      </c>
      <c r="EC7" s="934"/>
      <c r="ED7" s="934"/>
      <c r="EE7" s="934" t="s">
        <v>60</v>
      </c>
      <c r="EF7" s="934"/>
      <c r="EG7" s="934"/>
      <c r="EH7" s="934" t="s">
        <v>61</v>
      </c>
      <c r="EI7" s="934"/>
      <c r="EJ7" s="937"/>
      <c r="EK7" s="933" t="s">
        <v>63</v>
      </c>
      <c r="EL7" s="934"/>
      <c r="EM7" s="935"/>
      <c r="EN7" s="779" t="s">
        <v>62</v>
      </c>
      <c r="EO7" s="780"/>
      <c r="EP7" s="853"/>
      <c r="EQ7" s="851"/>
      <c r="ER7" s="851"/>
      <c r="ES7" s="864"/>
    </row>
    <row r="8" spans="1:149" s="16" customFormat="1" ht="111.75" customHeight="1" thickBot="1">
      <c r="A8" s="866"/>
      <c r="B8" s="881"/>
      <c r="C8" s="852" t="s">
        <v>64</v>
      </c>
      <c r="D8" s="854" t="s">
        <v>65</v>
      </c>
      <c r="E8" s="852" t="s">
        <v>64</v>
      </c>
      <c r="F8" s="854" t="s">
        <v>65</v>
      </c>
      <c r="G8" s="793" t="s">
        <v>66</v>
      </c>
      <c r="H8" s="849" t="s">
        <v>67</v>
      </c>
      <c r="I8" s="849" t="s">
        <v>64</v>
      </c>
      <c r="J8" s="857" t="s">
        <v>65</v>
      </c>
      <c r="K8" s="852" t="s">
        <v>67</v>
      </c>
      <c r="L8" s="849" t="s">
        <v>68</v>
      </c>
      <c r="M8" s="849" t="s">
        <v>64</v>
      </c>
      <c r="N8" s="854" t="s">
        <v>65</v>
      </c>
      <c r="O8" s="852" t="s">
        <v>67</v>
      </c>
      <c r="P8" s="849" t="s">
        <v>69</v>
      </c>
      <c r="Q8" s="849" t="s">
        <v>64</v>
      </c>
      <c r="R8" s="854" t="s">
        <v>65</v>
      </c>
      <c r="S8" s="852" t="s">
        <v>70</v>
      </c>
      <c r="T8" s="849" t="s">
        <v>71</v>
      </c>
      <c r="U8" s="849" t="s">
        <v>64</v>
      </c>
      <c r="V8" s="854" t="s">
        <v>65</v>
      </c>
      <c r="W8" s="852" t="s">
        <v>72</v>
      </c>
      <c r="X8" s="849" t="s">
        <v>73</v>
      </c>
      <c r="Y8" s="849" t="s">
        <v>64</v>
      </c>
      <c r="Z8" s="854" t="s">
        <v>65</v>
      </c>
      <c r="AA8" s="852" t="s">
        <v>74</v>
      </c>
      <c r="AB8" s="849" t="s">
        <v>75</v>
      </c>
      <c r="AC8" s="849" t="s">
        <v>64</v>
      </c>
      <c r="AD8" s="854" t="s">
        <v>65</v>
      </c>
      <c r="AE8" s="852" t="s">
        <v>76</v>
      </c>
      <c r="AF8" s="849" t="s">
        <v>77</v>
      </c>
      <c r="AG8" s="849" t="s">
        <v>78</v>
      </c>
      <c r="AH8" s="849" t="s">
        <v>64</v>
      </c>
      <c r="AI8" s="854" t="s">
        <v>65</v>
      </c>
      <c r="AJ8" s="852" t="s">
        <v>154</v>
      </c>
      <c r="AK8" s="849" t="s">
        <v>155</v>
      </c>
      <c r="AL8" s="849" t="s">
        <v>64</v>
      </c>
      <c r="AM8" s="857" t="s">
        <v>65</v>
      </c>
      <c r="AN8" s="849" t="s">
        <v>79</v>
      </c>
      <c r="AO8" s="849" t="s">
        <v>80</v>
      </c>
      <c r="AP8" s="849" t="s">
        <v>64</v>
      </c>
      <c r="AQ8" s="939" t="s">
        <v>81</v>
      </c>
      <c r="AR8" s="21"/>
      <c r="AS8" s="871" t="s">
        <v>82</v>
      </c>
      <c r="AT8" s="849" t="s">
        <v>82</v>
      </c>
      <c r="AU8" s="849" t="s">
        <v>83</v>
      </c>
      <c r="AV8" s="849" t="s">
        <v>64</v>
      </c>
      <c r="AW8" s="939" t="s">
        <v>65</v>
      </c>
      <c r="AX8" s="849" t="s">
        <v>84</v>
      </c>
      <c r="AY8" s="849" t="s">
        <v>85</v>
      </c>
      <c r="AZ8" s="849"/>
      <c r="BA8" s="849" t="s">
        <v>86</v>
      </c>
      <c r="BB8" s="849" t="s">
        <v>87</v>
      </c>
      <c r="BC8" s="873" t="s">
        <v>88</v>
      </c>
      <c r="BD8" s="873" t="s">
        <v>89</v>
      </c>
      <c r="BE8" s="849" t="s">
        <v>64</v>
      </c>
      <c r="BF8" s="939" t="s">
        <v>65</v>
      </c>
      <c r="BG8" s="21"/>
      <c r="BH8" s="21"/>
      <c r="BI8" s="21"/>
      <c r="BJ8" s="849" t="s">
        <v>90</v>
      </c>
      <c r="BK8" s="849" t="s">
        <v>91</v>
      </c>
      <c r="BL8" s="849" t="s">
        <v>64</v>
      </c>
      <c r="BM8" s="939" t="s">
        <v>65</v>
      </c>
      <c r="BN8" s="849" t="s">
        <v>92</v>
      </c>
      <c r="BO8" s="849" t="s">
        <v>93</v>
      </c>
      <c r="BP8" s="849" t="s">
        <v>94</v>
      </c>
      <c r="BQ8" s="849" t="s">
        <v>64</v>
      </c>
      <c r="BR8" s="939" t="s">
        <v>65</v>
      </c>
      <c r="BS8" s="849" t="s">
        <v>95</v>
      </c>
      <c r="BT8" s="849" t="s">
        <v>64</v>
      </c>
      <c r="BU8" s="939" t="s">
        <v>65</v>
      </c>
      <c r="BV8" s="849" t="s">
        <v>64</v>
      </c>
      <c r="BW8" s="854" t="s">
        <v>65</v>
      </c>
      <c r="BX8" s="933" t="s">
        <v>96</v>
      </c>
      <c r="BY8" s="934"/>
      <c r="BZ8" s="934" t="s">
        <v>156</v>
      </c>
      <c r="CA8" s="934"/>
      <c r="CB8" s="937" t="s">
        <v>97</v>
      </c>
      <c r="CC8" s="936"/>
      <c r="CD8" s="934" t="s">
        <v>151</v>
      </c>
      <c r="CE8" s="934"/>
      <c r="CF8" s="934" t="s">
        <v>161</v>
      </c>
      <c r="CG8" s="934"/>
      <c r="CH8" s="941"/>
      <c r="CI8" s="941"/>
      <c r="CJ8" s="934" t="s">
        <v>98</v>
      </c>
      <c r="CK8" s="934"/>
      <c r="CL8" s="934" t="s">
        <v>105</v>
      </c>
      <c r="CM8" s="935"/>
      <c r="CN8" s="936" t="s">
        <v>99</v>
      </c>
      <c r="CO8" s="934"/>
      <c r="CP8" s="938" t="s">
        <v>152</v>
      </c>
      <c r="CQ8" s="938"/>
      <c r="CR8" s="934" t="s">
        <v>157</v>
      </c>
      <c r="CS8" s="934"/>
      <c r="CT8" s="934" t="s">
        <v>153</v>
      </c>
      <c r="CU8" s="934"/>
      <c r="CV8" s="934" t="s">
        <v>162</v>
      </c>
      <c r="CW8" s="934"/>
      <c r="CX8" s="934" t="s">
        <v>100</v>
      </c>
      <c r="CY8" s="934"/>
      <c r="CZ8" s="934" t="s">
        <v>101</v>
      </c>
      <c r="DA8" s="934"/>
      <c r="DB8" s="934" t="s">
        <v>105</v>
      </c>
      <c r="DC8" s="937"/>
      <c r="DD8" s="933" t="s">
        <v>158</v>
      </c>
      <c r="DE8" s="934"/>
      <c r="DF8" s="934" t="s">
        <v>102</v>
      </c>
      <c r="DG8" s="934"/>
      <c r="DH8" s="934" t="s">
        <v>103</v>
      </c>
      <c r="DI8" s="934"/>
      <c r="DJ8" s="934" t="s">
        <v>159</v>
      </c>
      <c r="DK8" s="934"/>
      <c r="DL8" s="934" t="s">
        <v>104</v>
      </c>
      <c r="DM8" s="934"/>
      <c r="DN8" s="934" t="s">
        <v>105</v>
      </c>
      <c r="DO8" s="935"/>
      <c r="DP8" s="883" t="s">
        <v>64</v>
      </c>
      <c r="DQ8" s="883" t="s">
        <v>65</v>
      </c>
      <c r="DR8" s="852" t="s">
        <v>64</v>
      </c>
      <c r="DS8" s="861" t="s">
        <v>65</v>
      </c>
      <c r="DT8" s="793" t="s">
        <v>64</v>
      </c>
      <c r="DU8" s="776" t="s">
        <v>65</v>
      </c>
      <c r="DV8" s="849" t="s">
        <v>106</v>
      </c>
      <c r="DW8" s="849" t="s">
        <v>64</v>
      </c>
      <c r="DX8" s="861" t="s">
        <v>65</v>
      </c>
      <c r="DY8" s="852" t="s">
        <v>106</v>
      </c>
      <c r="DZ8" s="849" t="s">
        <v>64</v>
      </c>
      <c r="EA8" s="861" t="s">
        <v>65</v>
      </c>
      <c r="EB8" s="793" t="s">
        <v>106</v>
      </c>
      <c r="EC8" s="849" t="s">
        <v>64</v>
      </c>
      <c r="ED8" s="849" t="s">
        <v>65</v>
      </c>
      <c r="EE8" s="849" t="s">
        <v>106</v>
      </c>
      <c r="EF8" s="849" t="s">
        <v>64</v>
      </c>
      <c r="EG8" s="849" t="s">
        <v>65</v>
      </c>
      <c r="EH8" s="849" t="s">
        <v>106</v>
      </c>
      <c r="EI8" s="776" t="s">
        <v>64</v>
      </c>
      <c r="EJ8" s="883" t="s">
        <v>65</v>
      </c>
      <c r="EK8" s="895" t="s">
        <v>106</v>
      </c>
      <c r="EL8" s="876" t="s">
        <v>64</v>
      </c>
      <c r="EM8" s="898" t="s">
        <v>65</v>
      </c>
      <c r="EN8" s="845" t="s">
        <v>64</v>
      </c>
      <c r="EO8" s="847" t="s">
        <v>65</v>
      </c>
      <c r="EP8" s="852" t="s">
        <v>107</v>
      </c>
      <c r="EQ8" s="849" t="s">
        <v>108</v>
      </c>
      <c r="ER8" s="849" t="s">
        <v>109</v>
      </c>
      <c r="ES8" s="861" t="s">
        <v>110</v>
      </c>
    </row>
    <row r="9" spans="1:149" s="11" customFormat="1" ht="96.75" customHeight="1" thickBot="1">
      <c r="A9" s="868"/>
      <c r="B9" s="882"/>
      <c r="C9" s="853"/>
      <c r="D9" s="855"/>
      <c r="E9" s="853"/>
      <c r="F9" s="855"/>
      <c r="G9" s="771"/>
      <c r="H9" s="851"/>
      <c r="I9" s="851"/>
      <c r="J9" s="858"/>
      <c r="K9" s="853"/>
      <c r="L9" s="851"/>
      <c r="M9" s="851"/>
      <c r="N9" s="855"/>
      <c r="O9" s="853"/>
      <c r="P9" s="851"/>
      <c r="Q9" s="851"/>
      <c r="R9" s="855"/>
      <c r="S9" s="853"/>
      <c r="T9" s="851"/>
      <c r="U9" s="851"/>
      <c r="V9" s="855"/>
      <c r="W9" s="853"/>
      <c r="X9" s="851"/>
      <c r="Y9" s="851"/>
      <c r="Z9" s="855"/>
      <c r="AA9" s="853"/>
      <c r="AB9" s="851"/>
      <c r="AC9" s="851"/>
      <c r="AD9" s="855"/>
      <c r="AE9" s="853"/>
      <c r="AF9" s="851"/>
      <c r="AG9" s="851"/>
      <c r="AH9" s="851"/>
      <c r="AI9" s="855"/>
      <c r="AJ9" s="853"/>
      <c r="AK9" s="851"/>
      <c r="AL9" s="851"/>
      <c r="AM9" s="858"/>
      <c r="AN9" s="851"/>
      <c r="AO9" s="851"/>
      <c r="AP9" s="851"/>
      <c r="AQ9" s="940"/>
      <c r="AR9" s="23"/>
      <c r="AS9" s="872"/>
      <c r="AT9" s="851"/>
      <c r="AU9" s="851"/>
      <c r="AV9" s="851"/>
      <c r="AW9" s="940"/>
      <c r="AX9" s="851"/>
      <c r="AY9" s="14" t="s">
        <v>111</v>
      </c>
      <c r="AZ9" s="14" t="s">
        <v>112</v>
      </c>
      <c r="BA9" s="851"/>
      <c r="BB9" s="851"/>
      <c r="BC9" s="942"/>
      <c r="BD9" s="942"/>
      <c r="BE9" s="851"/>
      <c r="BF9" s="940"/>
      <c r="BG9" s="23"/>
      <c r="BH9" s="23"/>
      <c r="BI9" s="23"/>
      <c r="BJ9" s="851"/>
      <c r="BK9" s="851"/>
      <c r="BL9" s="851"/>
      <c r="BM9" s="940"/>
      <c r="BN9" s="851"/>
      <c r="BO9" s="851"/>
      <c r="BP9" s="851"/>
      <c r="BQ9" s="851"/>
      <c r="BR9" s="940"/>
      <c r="BS9" s="851"/>
      <c r="BT9" s="851"/>
      <c r="BU9" s="940"/>
      <c r="BV9" s="851"/>
      <c r="BW9" s="855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884"/>
      <c r="DQ9" s="884"/>
      <c r="DR9" s="853"/>
      <c r="DS9" s="864"/>
      <c r="DT9" s="771"/>
      <c r="DU9" s="772"/>
      <c r="DV9" s="851"/>
      <c r="DW9" s="851"/>
      <c r="DX9" s="864"/>
      <c r="DY9" s="853"/>
      <c r="DZ9" s="851"/>
      <c r="EA9" s="864"/>
      <c r="EB9" s="771"/>
      <c r="EC9" s="851"/>
      <c r="ED9" s="851"/>
      <c r="EE9" s="851"/>
      <c r="EF9" s="851"/>
      <c r="EG9" s="851"/>
      <c r="EH9" s="851"/>
      <c r="EI9" s="772"/>
      <c r="EJ9" s="884"/>
      <c r="EK9" s="896"/>
      <c r="EL9" s="897"/>
      <c r="EM9" s="899"/>
      <c r="EN9" s="846"/>
      <c r="EO9" s="848"/>
      <c r="EP9" s="853"/>
      <c r="EQ9" s="851"/>
      <c r="ER9" s="851"/>
      <c r="ES9" s="864"/>
    </row>
    <row r="10" spans="1:150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27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27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27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27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27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27">AA10/AB10*100%</f>
        <v>0.2666796705512212</v>
      </c>
      <c r="AD10" s="371">
        <f aca="true" t="shared" si="7" ref="AD10:AD27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27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27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27">AN10*100%/AO10</f>
        <v>0.7499901849161792</v>
      </c>
      <c r="AQ10" s="381">
        <v>1</v>
      </c>
      <c r="AR10" s="38">
        <f>AT10*100/AT36</f>
        <v>3.0783249350826503</v>
      </c>
      <c r="AS10" s="143">
        <v>11780.1</v>
      </c>
      <c r="AT10" s="36">
        <v>11780.1</v>
      </c>
      <c r="AU10" s="36">
        <v>5048.5</v>
      </c>
      <c r="AV10" s="26">
        <f aca="true" t="shared" si="11" ref="AV10:AV27">AU10*100%/AS10</f>
        <v>0.42856172698024636</v>
      </c>
      <c r="AW10" s="35">
        <v>1</v>
      </c>
      <c r="AX10" s="36">
        <v>1698.82</v>
      </c>
      <c r="AY10" s="36">
        <f aca="true" t="shared" si="12" ref="AY10:AY27">AX10*100/AN10</f>
        <v>88.92948751505</v>
      </c>
      <c r="AZ10" s="36">
        <f aca="true" t="shared" si="13" ref="AZ10:AZ27">AX10*100/AU10</f>
        <v>33.64999504803407</v>
      </c>
      <c r="BA10" s="35">
        <v>0</v>
      </c>
      <c r="BB10" s="35">
        <v>1</v>
      </c>
      <c r="BC10" s="382">
        <v>2594</v>
      </c>
      <c r="BD10" s="36">
        <f aca="true" t="shared" si="14" ref="BD10:BD25">AS10*1000/BC10</f>
        <v>4541.287586738627</v>
      </c>
      <c r="BE10" s="26">
        <f>BD10/BD36*100%</f>
        <v>1.172777717943246</v>
      </c>
      <c r="BF10" s="35">
        <v>1</v>
      </c>
      <c r="BG10" s="35">
        <f>BD10*100/BD36</f>
        <v>117.27777179432458</v>
      </c>
      <c r="BH10" s="38">
        <f aca="true" t="shared" si="15" ref="BH10:BH27">BJ10*100/AN10</f>
        <v>225.00593781081503</v>
      </c>
      <c r="BI10" s="38">
        <f aca="true" t="shared" si="16" ref="BI10:BI27">BJ10*100/AT10</f>
        <v>36.48770748974965</v>
      </c>
      <c r="BJ10" s="36">
        <f>4298288.43/1000</f>
        <v>4298.28843</v>
      </c>
      <c r="BK10" s="36">
        <f aca="true" t="shared" si="17" ref="BK10:BK27">BJ10*1000/BC10</f>
        <v>1657.0117309175018</v>
      </c>
      <c r="BL10" s="26">
        <f>BK10/BK36*100%</f>
        <v>2.4242752057558463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f>3292492.06/1000</f>
        <v>3292.49206</v>
      </c>
      <c r="BT10" s="26">
        <f aca="true" t="shared" si="18" ref="BT10:BT27">BS10*100%/AT10</f>
        <v>0.27949610444733064</v>
      </c>
      <c r="BU10" s="383">
        <f aca="true" t="shared" si="19" ref="BU10:BU27">BT10/50%</f>
        <v>0.5589922088946613</v>
      </c>
      <c r="BV10" s="373">
        <v>7.796435501828972</v>
      </c>
      <c r="BW10" s="165">
        <f aca="true" t="shared" si="20" ref="BW10:BW27">1-(BV10/100)</f>
        <v>0.9220356449817103</v>
      </c>
      <c r="BX10" s="384">
        <f>1+1</f>
        <v>2</v>
      </c>
      <c r="BY10" s="165">
        <f aca="true" t="shared" si="21" ref="BY10:BY27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2" ref="CC10:CC27">1-CB10/4</f>
        <v>1</v>
      </c>
      <c r="CD10" s="386">
        <v>0</v>
      </c>
      <c r="CE10" s="387">
        <f>1-CD10/1</f>
        <v>1</v>
      </c>
      <c r="CF10" s="42"/>
      <c r="CG10" s="28">
        <f aca="true" t="shared" si="23" ref="CG10:CG27">1-CF10/1</f>
        <v>1</v>
      </c>
      <c r="CH10" s="42"/>
      <c r="CI10" s="43"/>
      <c r="CJ10" s="36"/>
      <c r="CK10" s="28">
        <f aca="true" t="shared" si="24" ref="CK10:CK27">1-CJ10/1</f>
        <v>1</v>
      </c>
      <c r="CL10" s="388">
        <f aca="true" t="shared" si="25" ref="CL10:CL27">BX10+BZ10+CB10+CD10+CF10+CH10+CJ10</f>
        <v>2</v>
      </c>
      <c r="CM10" s="28">
        <f aca="true" t="shared" si="26" ref="CM10:CM27">1-CL10/20</f>
        <v>0.9</v>
      </c>
      <c r="CN10" s="44"/>
      <c r="CO10" s="43">
        <f aca="true" t="shared" si="27" ref="CO10:CO27">1-CN10/6</f>
        <v>1</v>
      </c>
      <c r="CP10" s="36"/>
      <c r="CQ10" s="36">
        <f aca="true" t="shared" si="28" ref="CQ10:CQ27">1-CP10/11</f>
        <v>1</v>
      </c>
      <c r="CR10" s="385">
        <v>0</v>
      </c>
      <c r="CS10" s="38">
        <f aca="true" t="shared" si="29" ref="CS10:CS27">1-CR10/3</f>
        <v>1</v>
      </c>
      <c r="CT10" s="385">
        <v>0</v>
      </c>
      <c r="CU10" s="381">
        <f aca="true" t="shared" si="30" ref="CU10:CU27">1-CT10/2</f>
        <v>1</v>
      </c>
      <c r="CV10" s="384"/>
      <c r="CW10" s="165">
        <f aca="true" t="shared" si="31" ref="CW10:CW27">1-CV10/5</f>
        <v>1</v>
      </c>
      <c r="CX10" s="384">
        <f>2+3+2+1</f>
        <v>8</v>
      </c>
      <c r="CY10" s="165">
        <f aca="true" t="shared" si="32" ref="CY10:CY27">1-CX10/11</f>
        <v>0.2727272727272727</v>
      </c>
      <c r="CZ10" s="384">
        <v>1</v>
      </c>
      <c r="DA10" s="165">
        <f aca="true" t="shared" si="33" ref="DA10:DA27">1-CZ10/8</f>
        <v>0.875</v>
      </c>
      <c r="DB10" s="388">
        <f aca="true" t="shared" si="34" ref="DB10:DB27">CR10+CT10+CX10+CZ10+CV10</f>
        <v>9</v>
      </c>
      <c r="DC10" s="165">
        <f aca="true" t="shared" si="35" ref="DC10:DC27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6" ref="DG10:DG27">1-DF10/14</f>
        <v>0.9285714285714286</v>
      </c>
      <c r="DH10" s="42">
        <v>1</v>
      </c>
      <c r="DI10" s="38">
        <f aca="true" t="shared" si="37" ref="DI10:DI27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8" ref="DN10:DN27">DD10+DF10+DH10+DJ10+DL10</f>
        <v>2</v>
      </c>
      <c r="DO10" s="390">
        <f aca="true" t="shared" si="39" ref="DO10:DO27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0" ref="DS10:DS27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1" ref="EP10:EP27">D10+F10+J10+N10+R10+V10+Z10+AD10+AI10+AM10+AQ10+AW10+BA10+BB10+BF10+BM10+BR10+BU10+BW10+CM10+DC10+DO10+DQ10+DS10+DU10+DX10+EA10+ED10+EG10+EJ10</f>
        <v>24.399098082404016</v>
      </c>
      <c r="EQ10" s="24">
        <f aca="true" t="shared" si="42" ref="EQ10:EQ33">EQ9+1</f>
        <v>1</v>
      </c>
      <c r="ER10" s="36">
        <f>(EP10-EP33)/3</f>
        <v>1.552704073700215</v>
      </c>
      <c r="ES10" s="52" t="s">
        <v>119</v>
      </c>
      <c r="ET10" s="420"/>
    </row>
    <row r="11" spans="1:150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69">
        <f>AT11*100/AT37</f>
        <v>11.011137535934173</v>
      </c>
      <c r="AS11" s="144">
        <v>42137.25</v>
      </c>
      <c r="AT11" s="66">
        <v>42137.3</v>
      </c>
      <c r="AU11" s="66">
        <v>11168.7</v>
      </c>
      <c r="AV11" s="26">
        <f t="shared" si="11"/>
        <v>0.2650552658277415</v>
      </c>
      <c r="AW11" s="35">
        <v>1</v>
      </c>
      <c r="AX11" s="66">
        <v>3227.41</v>
      </c>
      <c r="AY11" s="66">
        <f t="shared" si="12"/>
        <v>96.89303191329671</v>
      </c>
      <c r="AZ11" s="66">
        <f t="shared" si="13"/>
        <v>28.896917277749424</v>
      </c>
      <c r="BA11" s="35">
        <v>0</v>
      </c>
      <c r="BB11" s="35">
        <v>1</v>
      </c>
      <c r="BC11" s="392">
        <v>7824</v>
      </c>
      <c r="BD11" s="36">
        <f t="shared" si="14"/>
        <v>5385.640337423313</v>
      </c>
      <c r="BE11" s="58">
        <f>BD11/BD37*100%</f>
        <v>1.3908299934650077</v>
      </c>
      <c r="BF11" s="35">
        <v>1</v>
      </c>
      <c r="BG11" s="68">
        <f>BD11*100/BD37</f>
        <v>139.08299934650077</v>
      </c>
      <c r="BH11" s="69">
        <f t="shared" si="15"/>
        <v>222.3380236572698</v>
      </c>
      <c r="BI11" s="69">
        <f t="shared" si="16"/>
        <v>17.57553813367254</v>
      </c>
      <c r="BJ11" s="66">
        <f>7405857.23/1000</f>
        <v>7405.8572300000005</v>
      </c>
      <c r="BK11" s="66">
        <f t="shared" si="17"/>
        <v>946.5563944274029</v>
      </c>
      <c r="BL11" s="58">
        <f>BK11/BK37*100%</f>
        <v>1.3848503031353927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f>19907819.13/1000</f>
        <v>19907.81913</v>
      </c>
      <c r="BT11" s="58">
        <f t="shared" si="18"/>
        <v>0.4724512280093883</v>
      </c>
      <c r="BU11" s="383">
        <f t="shared" si="19"/>
        <v>0.9449024560187766</v>
      </c>
      <c r="BV11" s="169">
        <v>0.6248778528749858</v>
      </c>
      <c r="BW11" s="166">
        <f t="shared" si="20"/>
        <v>0.9937512214712502</v>
      </c>
      <c r="BX11" s="393">
        <v>10</v>
      </c>
      <c r="BY11" s="166">
        <f t="shared" si="21"/>
        <v>0.16666666666666663</v>
      </c>
      <c r="BZ11" s="394">
        <v>2</v>
      </c>
      <c r="CA11" s="381">
        <v>0</v>
      </c>
      <c r="CB11" s="394">
        <v>4</v>
      </c>
      <c r="CC11" s="28">
        <f t="shared" si="22"/>
        <v>0</v>
      </c>
      <c r="CD11" s="395">
        <v>2</v>
      </c>
      <c r="CE11" s="387">
        <v>0</v>
      </c>
      <c r="CF11" s="73">
        <v>1</v>
      </c>
      <c r="CG11" s="28">
        <f t="shared" si="23"/>
        <v>0</v>
      </c>
      <c r="CH11" s="73"/>
      <c r="CI11" s="48"/>
      <c r="CJ11" s="36">
        <v>1</v>
      </c>
      <c r="CK11" s="28">
        <f t="shared" si="24"/>
        <v>0</v>
      </c>
      <c r="CL11" s="388">
        <f t="shared" si="25"/>
        <v>20</v>
      </c>
      <c r="CM11" s="28">
        <f t="shared" si="26"/>
        <v>0</v>
      </c>
      <c r="CN11" s="74"/>
      <c r="CO11" s="48">
        <f t="shared" si="27"/>
        <v>1</v>
      </c>
      <c r="CP11" s="66"/>
      <c r="CQ11" s="66">
        <f t="shared" si="28"/>
        <v>1</v>
      </c>
      <c r="CR11" s="394">
        <v>2</v>
      </c>
      <c r="CS11" s="38">
        <f t="shared" si="29"/>
        <v>0.33333333333333337</v>
      </c>
      <c r="CT11" s="394">
        <v>2</v>
      </c>
      <c r="CU11" s="381">
        <f t="shared" si="30"/>
        <v>0</v>
      </c>
      <c r="CV11" s="393">
        <v>5</v>
      </c>
      <c r="CW11" s="165">
        <f t="shared" si="31"/>
        <v>0</v>
      </c>
      <c r="CX11" s="393">
        <f>2+3+2+2</f>
        <v>9</v>
      </c>
      <c r="CY11" s="165">
        <f t="shared" si="32"/>
        <v>0.18181818181818177</v>
      </c>
      <c r="CZ11" s="393">
        <v>2</v>
      </c>
      <c r="DA11" s="166">
        <f t="shared" si="33"/>
        <v>0.75</v>
      </c>
      <c r="DB11" s="388">
        <f t="shared" si="34"/>
        <v>20</v>
      </c>
      <c r="DC11" s="165">
        <f t="shared" si="35"/>
        <v>0.2592592592592593</v>
      </c>
      <c r="DD11" s="396">
        <v>0</v>
      </c>
      <c r="DE11" s="69">
        <v>1</v>
      </c>
      <c r="DF11" s="394">
        <v>5</v>
      </c>
      <c r="DG11" s="155">
        <f t="shared" si="36"/>
        <v>0.6428571428571428</v>
      </c>
      <c r="DH11" s="73">
        <v>21</v>
      </c>
      <c r="DI11" s="38">
        <f t="shared" si="37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8"/>
        <v>30</v>
      </c>
      <c r="DO11" s="390">
        <f t="shared" si="39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0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1"/>
        <v>23.68286464453358</v>
      </c>
      <c r="EQ11" s="24">
        <f t="shared" si="42"/>
        <v>2</v>
      </c>
      <c r="ER11" s="36">
        <f>ER10</f>
        <v>1.552704073700215</v>
      </c>
      <c r="ES11" s="77" t="s">
        <v>119</v>
      </c>
      <c r="ET11" s="80"/>
    </row>
    <row r="12" spans="1:150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69">
        <f>AT12*100/AT40</f>
        <v>3.3502761714847615</v>
      </c>
      <c r="AS12" s="144">
        <v>12820.82</v>
      </c>
      <c r="AT12" s="66">
        <v>12820.8</v>
      </c>
      <c r="AU12" s="66">
        <v>4831.5</v>
      </c>
      <c r="AV12" s="26">
        <f t="shared" si="11"/>
        <v>0.3768479707226215</v>
      </c>
      <c r="AW12" s="35">
        <v>1</v>
      </c>
      <c r="AX12" s="66">
        <v>1983.28</v>
      </c>
      <c r="AY12" s="66">
        <f t="shared" si="12"/>
        <v>99.38762214983713</v>
      </c>
      <c r="AZ12" s="66">
        <f t="shared" si="13"/>
        <v>41.048949601573014</v>
      </c>
      <c r="BA12" s="35">
        <v>0</v>
      </c>
      <c r="BB12" s="35">
        <v>1</v>
      </c>
      <c r="BC12" s="392">
        <v>1777</v>
      </c>
      <c r="BD12" s="36">
        <f t="shared" si="14"/>
        <v>7214.867754642656</v>
      </c>
      <c r="BE12" s="58">
        <f>BD12/BD40*100%</f>
        <v>1.8632240259923272</v>
      </c>
      <c r="BF12" s="35">
        <v>1</v>
      </c>
      <c r="BG12" s="68">
        <f>BD12*100/BD40</f>
        <v>186.3224025992327</v>
      </c>
      <c r="BH12" s="69">
        <f t="shared" si="15"/>
        <v>72.86539163117013</v>
      </c>
      <c r="BI12" s="69">
        <f t="shared" si="16"/>
        <v>11.341171299762886</v>
      </c>
      <c r="BJ12" s="66">
        <f>1454028.89/1000</f>
        <v>1454.0288899999998</v>
      </c>
      <c r="BK12" s="66">
        <f t="shared" si="17"/>
        <v>818.249234665166</v>
      </c>
      <c r="BL12" s="58">
        <f>BK12/BK40*100%</f>
        <v>1.1971317370391146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66">
        <f>286547.97/1000</f>
        <v>286.54796999999996</v>
      </c>
      <c r="BT12" s="58">
        <f t="shared" si="18"/>
        <v>0.02235024101460127</v>
      </c>
      <c r="BU12" s="383">
        <f t="shared" si="19"/>
        <v>0.04470048202920254</v>
      </c>
      <c r="BV12" s="169">
        <v>10.094998544601664</v>
      </c>
      <c r="BW12" s="166">
        <f t="shared" si="20"/>
        <v>0.8990500145539834</v>
      </c>
      <c r="BX12" s="393">
        <v>8</v>
      </c>
      <c r="BY12" s="166">
        <f t="shared" si="21"/>
        <v>0.33333333333333337</v>
      </c>
      <c r="BZ12" s="394">
        <v>0</v>
      </c>
      <c r="CA12" s="381">
        <v>0</v>
      </c>
      <c r="CB12" s="394">
        <v>1</v>
      </c>
      <c r="CC12" s="28">
        <f t="shared" si="22"/>
        <v>0.75</v>
      </c>
      <c r="CD12" s="395">
        <v>0</v>
      </c>
      <c r="CE12" s="387">
        <v>0.5</v>
      </c>
      <c r="CF12" s="73"/>
      <c r="CG12" s="28">
        <f t="shared" si="23"/>
        <v>1</v>
      </c>
      <c r="CH12" s="73"/>
      <c r="CI12" s="48"/>
      <c r="CJ12" s="36"/>
      <c r="CK12" s="28">
        <f t="shared" si="24"/>
        <v>1</v>
      </c>
      <c r="CL12" s="388">
        <f t="shared" si="25"/>
        <v>9</v>
      </c>
      <c r="CM12" s="28">
        <f t="shared" si="26"/>
        <v>0.55</v>
      </c>
      <c r="CN12" s="74"/>
      <c r="CO12" s="48">
        <f t="shared" si="27"/>
        <v>1</v>
      </c>
      <c r="CP12" s="66"/>
      <c r="CQ12" s="66">
        <f t="shared" si="28"/>
        <v>1</v>
      </c>
      <c r="CR12" s="394">
        <v>0</v>
      </c>
      <c r="CS12" s="38">
        <f t="shared" si="29"/>
        <v>1</v>
      </c>
      <c r="CT12" s="394">
        <v>0</v>
      </c>
      <c r="CU12" s="381">
        <f t="shared" si="30"/>
        <v>1</v>
      </c>
      <c r="CV12" s="393"/>
      <c r="CW12" s="165">
        <f t="shared" si="31"/>
        <v>1</v>
      </c>
      <c r="CX12" s="393">
        <v>5</v>
      </c>
      <c r="CY12" s="165">
        <f t="shared" si="32"/>
        <v>0.5454545454545454</v>
      </c>
      <c r="CZ12" s="393">
        <v>8</v>
      </c>
      <c r="DA12" s="166">
        <f t="shared" si="33"/>
        <v>0</v>
      </c>
      <c r="DB12" s="388">
        <f t="shared" si="34"/>
        <v>13</v>
      </c>
      <c r="DC12" s="165">
        <f t="shared" si="35"/>
        <v>0.5185185185185186</v>
      </c>
      <c r="DD12" s="396">
        <v>0</v>
      </c>
      <c r="DE12" s="69">
        <v>0.5</v>
      </c>
      <c r="DF12" s="394">
        <v>2</v>
      </c>
      <c r="DG12" s="155">
        <f t="shared" si="36"/>
        <v>0.8571428571428572</v>
      </c>
      <c r="DH12" s="73">
        <v>2</v>
      </c>
      <c r="DI12" s="38">
        <f t="shared" si="37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8"/>
        <v>6</v>
      </c>
      <c r="DO12" s="390">
        <f t="shared" si="39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0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1"/>
        <v>23.403887077031523</v>
      </c>
      <c r="EQ12" s="24">
        <f t="shared" si="42"/>
        <v>3</v>
      </c>
      <c r="ER12" s="36">
        <f aca="true" t="shared" si="43" ref="ER12:ER33">ER11</f>
        <v>1.552704073700215</v>
      </c>
      <c r="ES12" s="77" t="s">
        <v>119</v>
      </c>
      <c r="ET12" s="80"/>
    </row>
    <row r="13" spans="1:150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69">
        <f>AT13*100/AT40</f>
        <v>3.628237668708674</v>
      </c>
      <c r="AS13" s="144">
        <v>13884.46</v>
      </c>
      <c r="AT13" s="66">
        <v>13884.5</v>
      </c>
      <c r="AU13" s="66">
        <v>6503.8</v>
      </c>
      <c r="AV13" s="26">
        <f t="shared" si="11"/>
        <v>0.46842297071690225</v>
      </c>
      <c r="AW13" s="35">
        <v>1</v>
      </c>
      <c r="AX13" s="66">
        <v>2258.79</v>
      </c>
      <c r="AY13" s="66">
        <f t="shared" si="12"/>
        <v>98.13998957247132</v>
      </c>
      <c r="AZ13" s="66">
        <f t="shared" si="13"/>
        <v>34.73031151019404</v>
      </c>
      <c r="BA13" s="35">
        <v>0</v>
      </c>
      <c r="BB13" s="35">
        <v>1</v>
      </c>
      <c r="BC13" s="392">
        <v>4344</v>
      </c>
      <c r="BD13" s="36">
        <f t="shared" si="14"/>
        <v>3196.2384898710866</v>
      </c>
      <c r="BE13" s="58">
        <f>BD13/BD43*100%</f>
        <v>0.8254216916584636</v>
      </c>
      <c r="BF13" s="35">
        <v>0.8</v>
      </c>
      <c r="BG13" s="68">
        <f>BD13*100/BD40</f>
        <v>82.54216916584636</v>
      </c>
      <c r="BH13" s="69">
        <f t="shared" si="15"/>
        <v>158.001913451512</v>
      </c>
      <c r="BI13" s="69">
        <f t="shared" si="16"/>
        <v>26.191595232093345</v>
      </c>
      <c r="BJ13" s="66">
        <f>3636572.04/1000</f>
        <v>3636.57204</v>
      </c>
      <c r="BK13" s="66">
        <f t="shared" si="17"/>
        <v>837.1482596685083</v>
      </c>
      <c r="BL13" s="58">
        <f>BK13/BK43*100%</f>
        <v>1.2247817752818697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f>143700/1000</f>
        <v>143.7</v>
      </c>
      <c r="BT13" s="58">
        <f t="shared" si="18"/>
        <v>0.010349670495876696</v>
      </c>
      <c r="BU13" s="383">
        <f t="shared" si="19"/>
        <v>0.02069934099175339</v>
      </c>
      <c r="BV13" s="169">
        <v>0</v>
      </c>
      <c r="BW13" s="166">
        <f t="shared" si="20"/>
        <v>1</v>
      </c>
      <c r="BX13" s="393">
        <f>3+2+2</f>
        <v>7</v>
      </c>
      <c r="BY13" s="166">
        <f t="shared" si="21"/>
        <v>0.41666666666666663</v>
      </c>
      <c r="BZ13" s="394">
        <v>0</v>
      </c>
      <c r="CA13" s="381">
        <v>1</v>
      </c>
      <c r="CB13" s="394">
        <v>1</v>
      </c>
      <c r="CC13" s="28">
        <f t="shared" si="22"/>
        <v>0.75</v>
      </c>
      <c r="CD13" s="395">
        <v>0</v>
      </c>
      <c r="CE13" s="387">
        <f>1-CD13/1</f>
        <v>1</v>
      </c>
      <c r="CF13" s="73">
        <v>1</v>
      </c>
      <c r="CG13" s="28">
        <f t="shared" si="23"/>
        <v>0</v>
      </c>
      <c r="CH13" s="73"/>
      <c r="CI13" s="48"/>
      <c r="CJ13" s="36">
        <v>1</v>
      </c>
      <c r="CK13" s="28">
        <f t="shared" si="24"/>
        <v>0</v>
      </c>
      <c r="CL13" s="388">
        <f t="shared" si="25"/>
        <v>10</v>
      </c>
      <c r="CM13" s="28">
        <f t="shared" si="26"/>
        <v>0.5</v>
      </c>
      <c r="CN13" s="74"/>
      <c r="CO13" s="48">
        <f t="shared" si="27"/>
        <v>1</v>
      </c>
      <c r="CP13" s="66"/>
      <c r="CQ13" s="66">
        <f t="shared" si="28"/>
        <v>1</v>
      </c>
      <c r="CR13" s="394">
        <v>0</v>
      </c>
      <c r="CS13" s="38">
        <f t="shared" si="29"/>
        <v>1</v>
      </c>
      <c r="CT13" s="394">
        <v>0</v>
      </c>
      <c r="CU13" s="381">
        <f t="shared" si="30"/>
        <v>1</v>
      </c>
      <c r="CV13" s="393">
        <v>3</v>
      </c>
      <c r="CW13" s="165">
        <f t="shared" si="31"/>
        <v>0.4</v>
      </c>
      <c r="CX13" s="393">
        <f>4+2+1+3</f>
        <v>10</v>
      </c>
      <c r="CY13" s="165">
        <f t="shared" si="32"/>
        <v>0.09090909090909094</v>
      </c>
      <c r="CZ13" s="393">
        <v>6</v>
      </c>
      <c r="DA13" s="166">
        <f t="shared" si="33"/>
        <v>0.25</v>
      </c>
      <c r="DB13" s="388">
        <f t="shared" si="34"/>
        <v>19</v>
      </c>
      <c r="DC13" s="165">
        <f t="shared" si="35"/>
        <v>0.2962962962962963</v>
      </c>
      <c r="DD13" s="396">
        <v>1</v>
      </c>
      <c r="DE13" s="69">
        <v>0.5</v>
      </c>
      <c r="DF13" s="394">
        <v>3</v>
      </c>
      <c r="DG13" s="155">
        <f t="shared" si="36"/>
        <v>0.7857142857142857</v>
      </c>
      <c r="DH13" s="73">
        <v>7</v>
      </c>
      <c r="DI13" s="38">
        <f t="shared" si="37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8"/>
        <v>17</v>
      </c>
      <c r="DO13" s="390">
        <f t="shared" si="39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0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1"/>
        <v>23.200326869018454</v>
      </c>
      <c r="EQ13" s="427">
        <f t="shared" si="42"/>
        <v>4</v>
      </c>
      <c r="ER13" s="51">
        <f t="shared" si="43"/>
        <v>1.552704073700215</v>
      </c>
      <c r="ES13" s="53" t="s">
        <v>117</v>
      </c>
      <c r="ET13" s="80"/>
    </row>
    <row r="14" spans="1:150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69">
        <f>AT14*100/AT41</f>
        <v>7.129475913095809</v>
      </c>
      <c r="AS14" s="144">
        <v>27282.98</v>
      </c>
      <c r="AT14" s="66">
        <v>27283</v>
      </c>
      <c r="AU14" s="66">
        <v>7418.9</v>
      </c>
      <c r="AV14" s="26">
        <f t="shared" si="11"/>
        <v>0.27192410799700034</v>
      </c>
      <c r="AW14" s="35">
        <v>1</v>
      </c>
      <c r="AX14" s="66">
        <v>3389.12</v>
      </c>
      <c r="AY14" s="66">
        <f t="shared" si="12"/>
        <v>99.58334557635236</v>
      </c>
      <c r="AZ14" s="66">
        <f t="shared" si="13"/>
        <v>45.68224399843643</v>
      </c>
      <c r="BA14" s="35">
        <v>0</v>
      </c>
      <c r="BB14" s="35">
        <v>1</v>
      </c>
      <c r="BC14" s="392">
        <v>5567</v>
      </c>
      <c r="BD14" s="36">
        <f t="shared" si="14"/>
        <v>4900.84066822346</v>
      </c>
      <c r="BE14" s="58">
        <f>BD14/BD43*100%</f>
        <v>1.265631525223501</v>
      </c>
      <c r="BF14" s="35">
        <v>1</v>
      </c>
      <c r="BG14" s="68">
        <f>BD14*100/BD41</f>
        <v>126.56315252235011</v>
      </c>
      <c r="BH14" s="69">
        <f t="shared" si="15"/>
        <v>92.41219345928951</v>
      </c>
      <c r="BI14" s="69">
        <f t="shared" si="16"/>
        <v>11.527559945753767</v>
      </c>
      <c r="BJ14" s="66">
        <f>3145064.18/1000</f>
        <v>3145.0641800000003</v>
      </c>
      <c r="BK14" s="66">
        <f t="shared" si="17"/>
        <v>564.9477600143704</v>
      </c>
      <c r="BL14" s="58">
        <f>BK14/BK43*100%</f>
        <v>0.8265414309359107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66">
        <f>3237659.73/1000</f>
        <v>3237.65973</v>
      </c>
      <c r="BT14" s="58">
        <f t="shared" si="18"/>
        <v>0.11866949125829271</v>
      </c>
      <c r="BU14" s="383">
        <f t="shared" si="19"/>
        <v>0.23733898251658542</v>
      </c>
      <c r="BV14" s="169">
        <v>18.75948643022452</v>
      </c>
      <c r="BW14" s="166">
        <f t="shared" si="20"/>
        <v>0.8124051356977549</v>
      </c>
      <c r="BX14" s="393">
        <v>6</v>
      </c>
      <c r="BY14" s="166">
        <f t="shared" si="21"/>
        <v>0.5</v>
      </c>
      <c r="BZ14" s="394">
        <v>0</v>
      </c>
      <c r="CA14" s="381">
        <f>1-BZ14/1</f>
        <v>1</v>
      </c>
      <c r="CB14" s="394">
        <v>1</v>
      </c>
      <c r="CC14" s="28">
        <f t="shared" si="22"/>
        <v>0.75</v>
      </c>
      <c r="CD14" s="395">
        <v>1</v>
      </c>
      <c r="CE14" s="387">
        <v>0.5</v>
      </c>
      <c r="CF14" s="73"/>
      <c r="CG14" s="28">
        <f t="shared" si="23"/>
        <v>1</v>
      </c>
      <c r="CH14" s="73"/>
      <c r="CI14" s="48"/>
      <c r="CJ14" s="36"/>
      <c r="CK14" s="28">
        <f t="shared" si="24"/>
        <v>1</v>
      </c>
      <c r="CL14" s="388">
        <f t="shared" si="25"/>
        <v>8</v>
      </c>
      <c r="CM14" s="28">
        <f t="shared" si="26"/>
        <v>0.6</v>
      </c>
      <c r="CN14" s="74"/>
      <c r="CO14" s="48">
        <f t="shared" si="27"/>
        <v>1</v>
      </c>
      <c r="CP14" s="66"/>
      <c r="CQ14" s="66">
        <f t="shared" si="28"/>
        <v>1</v>
      </c>
      <c r="CR14" s="394">
        <v>0</v>
      </c>
      <c r="CS14" s="38">
        <f t="shared" si="29"/>
        <v>1</v>
      </c>
      <c r="CT14" s="394">
        <v>0</v>
      </c>
      <c r="CU14" s="381">
        <f t="shared" si="30"/>
        <v>1</v>
      </c>
      <c r="CV14" s="393">
        <v>1</v>
      </c>
      <c r="CW14" s="165">
        <f t="shared" si="31"/>
        <v>0.8</v>
      </c>
      <c r="CX14" s="393">
        <f>3+3+1+2</f>
        <v>9</v>
      </c>
      <c r="CY14" s="165">
        <f t="shared" si="32"/>
        <v>0.18181818181818177</v>
      </c>
      <c r="CZ14" s="393">
        <v>0</v>
      </c>
      <c r="DA14" s="166">
        <f t="shared" si="33"/>
        <v>1</v>
      </c>
      <c r="DB14" s="388">
        <f t="shared" si="34"/>
        <v>10</v>
      </c>
      <c r="DC14" s="165">
        <f t="shared" si="35"/>
        <v>0.6296296296296297</v>
      </c>
      <c r="DD14" s="396">
        <v>0</v>
      </c>
      <c r="DE14" s="69">
        <v>1</v>
      </c>
      <c r="DF14" s="394">
        <v>1</v>
      </c>
      <c r="DG14" s="155">
        <f t="shared" si="36"/>
        <v>0.9285714285714286</v>
      </c>
      <c r="DH14" s="73">
        <v>3</v>
      </c>
      <c r="DI14" s="38">
        <f t="shared" si="37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8"/>
        <v>6</v>
      </c>
      <c r="DO14" s="390">
        <f t="shared" si="39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0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1"/>
        <v>23.126098926315844</v>
      </c>
      <c r="EQ14" s="427">
        <f t="shared" si="42"/>
        <v>5</v>
      </c>
      <c r="ER14" s="51">
        <f t="shared" si="43"/>
        <v>1.552704073700215</v>
      </c>
      <c r="ES14" s="53" t="s">
        <v>117</v>
      </c>
      <c r="ET14" s="80"/>
    </row>
    <row r="15" spans="1:150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69">
        <f>AT15*100/AT45</f>
        <v>4.617578863114741</v>
      </c>
      <c r="AS15" s="144">
        <v>17670.52</v>
      </c>
      <c r="AT15" s="66">
        <v>17670.5</v>
      </c>
      <c r="AU15" s="66">
        <v>6082.9</v>
      </c>
      <c r="AV15" s="26">
        <f t="shared" si="11"/>
        <v>0.34424001104664714</v>
      </c>
      <c r="AW15" s="35">
        <v>1</v>
      </c>
      <c r="AX15" s="66">
        <v>2883.66</v>
      </c>
      <c r="AY15" s="66">
        <f t="shared" si="12"/>
        <v>97.53297706825408</v>
      </c>
      <c r="AZ15" s="66">
        <f t="shared" si="13"/>
        <v>47.40600700323859</v>
      </c>
      <c r="BA15" s="35">
        <v>0</v>
      </c>
      <c r="BB15" s="35">
        <v>1</v>
      </c>
      <c r="BC15" s="392">
        <v>5354</v>
      </c>
      <c r="BD15" s="36">
        <f t="shared" si="14"/>
        <v>3300.4333208815838</v>
      </c>
      <c r="BE15" s="58">
        <f>BD15/BD49*100%</f>
        <v>0.8523297818861802</v>
      </c>
      <c r="BF15" s="35">
        <v>0.8</v>
      </c>
      <c r="BG15" s="68">
        <f>BD15*100/BD45</f>
        <v>85.23297818861802</v>
      </c>
      <c r="BH15" s="69">
        <f t="shared" si="15"/>
        <v>57.14703713725225</v>
      </c>
      <c r="BI15" s="69">
        <f t="shared" si="16"/>
        <v>9.561751506748536</v>
      </c>
      <c r="BJ15" s="66">
        <f>1689609.3/1000</f>
        <v>1689.6093</v>
      </c>
      <c r="BK15" s="66">
        <f t="shared" si="17"/>
        <v>315.5788756070228</v>
      </c>
      <c r="BL15" s="58">
        <f>BK15/BK49*100%</f>
        <v>0.4617046634732024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f>680001.86/1000</f>
        <v>680.00186</v>
      </c>
      <c r="BT15" s="58">
        <f t="shared" si="18"/>
        <v>0.03848232138309612</v>
      </c>
      <c r="BU15" s="383">
        <f t="shared" si="19"/>
        <v>0.07696464276619223</v>
      </c>
      <c r="BV15" s="169">
        <v>1.3370342818605623</v>
      </c>
      <c r="BW15" s="166">
        <f t="shared" si="20"/>
        <v>0.9866296571813944</v>
      </c>
      <c r="BX15" s="393">
        <f>2+2+1</f>
        <v>5</v>
      </c>
      <c r="BY15" s="166">
        <f t="shared" si="21"/>
        <v>0.5833333333333333</v>
      </c>
      <c r="BZ15" s="394">
        <v>1</v>
      </c>
      <c r="CA15" s="381">
        <v>0</v>
      </c>
      <c r="CB15" s="394">
        <v>2</v>
      </c>
      <c r="CC15" s="28">
        <f t="shared" si="22"/>
        <v>0.5</v>
      </c>
      <c r="CD15" s="395">
        <v>1</v>
      </c>
      <c r="CE15" s="387">
        <v>0.5</v>
      </c>
      <c r="CF15" s="73"/>
      <c r="CG15" s="28">
        <f t="shared" si="23"/>
        <v>1</v>
      </c>
      <c r="CH15" s="73"/>
      <c r="CI15" s="48"/>
      <c r="CJ15" s="36"/>
      <c r="CK15" s="28">
        <f t="shared" si="24"/>
        <v>1</v>
      </c>
      <c r="CL15" s="388">
        <f t="shared" si="25"/>
        <v>9</v>
      </c>
      <c r="CM15" s="28">
        <f t="shared" si="26"/>
        <v>0.55</v>
      </c>
      <c r="CN15" s="74"/>
      <c r="CO15" s="48">
        <f t="shared" si="27"/>
        <v>1</v>
      </c>
      <c r="CP15" s="66"/>
      <c r="CQ15" s="66">
        <f t="shared" si="28"/>
        <v>1</v>
      </c>
      <c r="CR15" s="394">
        <v>2</v>
      </c>
      <c r="CS15" s="38">
        <f t="shared" si="29"/>
        <v>0.33333333333333337</v>
      </c>
      <c r="CT15" s="394">
        <v>0</v>
      </c>
      <c r="CU15" s="381">
        <f t="shared" si="30"/>
        <v>1</v>
      </c>
      <c r="CV15" s="393">
        <v>1</v>
      </c>
      <c r="CW15" s="165">
        <f t="shared" si="31"/>
        <v>0.8</v>
      </c>
      <c r="CX15" s="393">
        <f>3+3+1+1</f>
        <v>8</v>
      </c>
      <c r="CY15" s="165">
        <f t="shared" si="32"/>
        <v>0.2727272727272727</v>
      </c>
      <c r="CZ15" s="393">
        <v>1</v>
      </c>
      <c r="DA15" s="166">
        <f t="shared" si="33"/>
        <v>0.875</v>
      </c>
      <c r="DB15" s="388">
        <f t="shared" si="34"/>
        <v>12</v>
      </c>
      <c r="DC15" s="165">
        <f t="shared" si="35"/>
        <v>0.5555555555555556</v>
      </c>
      <c r="DD15" s="396">
        <v>0</v>
      </c>
      <c r="DE15" s="69">
        <v>1</v>
      </c>
      <c r="DF15" s="394">
        <v>2</v>
      </c>
      <c r="DG15" s="155">
        <f t="shared" si="36"/>
        <v>0.8571428571428572</v>
      </c>
      <c r="DH15" s="73">
        <v>2</v>
      </c>
      <c r="DI15" s="38">
        <f t="shared" si="37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8"/>
        <v>6</v>
      </c>
      <c r="DO15" s="390">
        <f t="shared" si="39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0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1"/>
        <v>22.354608989794855</v>
      </c>
      <c r="EQ15" s="427">
        <f t="shared" si="42"/>
        <v>6</v>
      </c>
      <c r="ER15" s="51">
        <f t="shared" si="43"/>
        <v>1.552704073700215</v>
      </c>
      <c r="ES15" s="53" t="s">
        <v>117</v>
      </c>
      <c r="ET15" s="80"/>
    </row>
    <row r="16" spans="1:150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69">
        <f>AT16*100/AT46</f>
        <v>10.130425272989966</v>
      </c>
      <c r="AS16" s="144">
        <v>38766.96</v>
      </c>
      <c r="AT16" s="66">
        <v>38767</v>
      </c>
      <c r="AU16" s="66">
        <v>6230.9</v>
      </c>
      <c r="AV16" s="26">
        <f t="shared" si="11"/>
        <v>0.16072707274441947</v>
      </c>
      <c r="AW16" s="35">
        <v>1</v>
      </c>
      <c r="AX16" s="66">
        <v>3317.44</v>
      </c>
      <c r="AY16" s="66">
        <f t="shared" si="12"/>
        <v>82.9546647995799</v>
      </c>
      <c r="AZ16" s="66">
        <f t="shared" si="13"/>
        <v>53.241746778154045</v>
      </c>
      <c r="BA16" s="35">
        <v>1</v>
      </c>
      <c r="BB16" s="35">
        <v>1</v>
      </c>
      <c r="BC16" s="392">
        <v>13027</v>
      </c>
      <c r="BD16" s="36">
        <f t="shared" si="14"/>
        <v>2975.8931450065247</v>
      </c>
      <c r="BE16" s="58">
        <f>BD16/BD46*100%</f>
        <v>0.7685179819122894</v>
      </c>
      <c r="BF16" s="35">
        <v>0.7</v>
      </c>
      <c r="BG16" s="68">
        <f>BD16*100/BD46</f>
        <v>76.85179819122895</v>
      </c>
      <c r="BH16" s="69">
        <f t="shared" si="15"/>
        <v>105.72604410992474</v>
      </c>
      <c r="BI16" s="69">
        <f t="shared" si="16"/>
        <v>10.906415843371942</v>
      </c>
      <c r="BJ16" s="66">
        <f>4228090.23/1000</f>
        <v>4228.090230000001</v>
      </c>
      <c r="BK16" s="66">
        <f t="shared" si="17"/>
        <v>324.5636163353036</v>
      </c>
      <c r="BL16" s="58">
        <f>BK16/BK46*100%</f>
        <v>0.4748497026852394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66">
        <f>3970558.19/1000</f>
        <v>3970.5581899999997</v>
      </c>
      <c r="BT16" s="58">
        <f t="shared" si="18"/>
        <v>0.10242108468542832</v>
      </c>
      <c r="BU16" s="383">
        <f t="shared" si="19"/>
        <v>0.20484216937085664</v>
      </c>
      <c r="BV16" s="169">
        <v>4.354440767314567</v>
      </c>
      <c r="BW16" s="166">
        <f t="shared" si="20"/>
        <v>0.9564555923268543</v>
      </c>
      <c r="BX16" s="393">
        <f>3+3+2</f>
        <v>8</v>
      </c>
      <c r="BY16" s="166">
        <f t="shared" si="21"/>
        <v>0.33333333333333337</v>
      </c>
      <c r="BZ16" s="394">
        <v>0</v>
      </c>
      <c r="CA16" s="381">
        <v>1</v>
      </c>
      <c r="CB16" s="394">
        <v>0</v>
      </c>
      <c r="CC16" s="28">
        <f t="shared" si="22"/>
        <v>1</v>
      </c>
      <c r="CD16" s="395">
        <v>0</v>
      </c>
      <c r="CE16" s="387">
        <f>1-CD16/1</f>
        <v>1</v>
      </c>
      <c r="CF16" s="73"/>
      <c r="CG16" s="28">
        <f t="shared" si="23"/>
        <v>1</v>
      </c>
      <c r="CH16" s="73"/>
      <c r="CI16" s="48"/>
      <c r="CJ16" s="36">
        <v>1</v>
      </c>
      <c r="CK16" s="28">
        <f t="shared" si="24"/>
        <v>0</v>
      </c>
      <c r="CL16" s="388">
        <f t="shared" si="25"/>
        <v>9</v>
      </c>
      <c r="CM16" s="28">
        <f t="shared" si="26"/>
        <v>0.55</v>
      </c>
      <c r="CN16" s="74"/>
      <c r="CO16" s="48">
        <f t="shared" si="27"/>
        <v>1</v>
      </c>
      <c r="CP16" s="66"/>
      <c r="CQ16" s="66">
        <f t="shared" si="28"/>
        <v>1</v>
      </c>
      <c r="CR16" s="394">
        <v>1</v>
      </c>
      <c r="CS16" s="38">
        <f t="shared" si="29"/>
        <v>0.6666666666666667</v>
      </c>
      <c r="CT16" s="394">
        <v>0</v>
      </c>
      <c r="CU16" s="381">
        <f t="shared" si="30"/>
        <v>1</v>
      </c>
      <c r="CV16" s="393">
        <v>3</v>
      </c>
      <c r="CW16" s="165">
        <f t="shared" si="31"/>
        <v>0.4</v>
      </c>
      <c r="CX16" s="393">
        <f>2+3+2+1</f>
        <v>8</v>
      </c>
      <c r="CY16" s="165">
        <f t="shared" si="32"/>
        <v>0.2727272727272727</v>
      </c>
      <c r="CZ16" s="393">
        <v>4</v>
      </c>
      <c r="DA16" s="166">
        <f t="shared" si="33"/>
        <v>0.5</v>
      </c>
      <c r="DB16" s="388">
        <f t="shared" si="34"/>
        <v>16</v>
      </c>
      <c r="DC16" s="165">
        <f t="shared" si="35"/>
        <v>0.40740740740740744</v>
      </c>
      <c r="DD16" s="396">
        <v>0</v>
      </c>
      <c r="DE16" s="69">
        <v>1</v>
      </c>
      <c r="DF16" s="394">
        <v>7</v>
      </c>
      <c r="DG16" s="155">
        <f t="shared" si="36"/>
        <v>0.5</v>
      </c>
      <c r="DH16" s="73">
        <v>7</v>
      </c>
      <c r="DI16" s="38">
        <f t="shared" si="37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8"/>
        <v>18</v>
      </c>
      <c r="DO16" s="390">
        <f t="shared" si="39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0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1"/>
        <v>22.28579767269808</v>
      </c>
      <c r="EQ16" s="427">
        <f t="shared" si="42"/>
        <v>7</v>
      </c>
      <c r="ER16" s="51">
        <f t="shared" si="43"/>
        <v>1.552704073700215</v>
      </c>
      <c r="ES16" s="53" t="s">
        <v>117</v>
      </c>
      <c r="ET16" s="80"/>
    </row>
    <row r="17" spans="1:149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69">
        <f>AT17*100/AT47</f>
        <v>3.332323783725729</v>
      </c>
      <c r="AS17" s="144">
        <v>12752.05</v>
      </c>
      <c r="AT17" s="66">
        <v>12752.1</v>
      </c>
      <c r="AU17" s="66">
        <v>4237.8</v>
      </c>
      <c r="AV17" s="26">
        <f t="shared" si="11"/>
        <v>0.3323230382565941</v>
      </c>
      <c r="AW17" s="35">
        <v>1</v>
      </c>
      <c r="AX17" s="66">
        <v>2342.9</v>
      </c>
      <c r="AY17" s="66">
        <f t="shared" si="12"/>
        <v>99.3638407057127</v>
      </c>
      <c r="AZ17" s="66">
        <f t="shared" si="13"/>
        <v>55.285761480013214</v>
      </c>
      <c r="BA17" s="35">
        <v>0</v>
      </c>
      <c r="BB17" s="35">
        <v>1</v>
      </c>
      <c r="BC17" s="392">
        <v>5177</v>
      </c>
      <c r="BD17" s="36">
        <f t="shared" si="14"/>
        <v>2463.212285107205</v>
      </c>
      <c r="BE17" s="58">
        <f>BD17/BD48*100%</f>
        <v>0.6361192563478275</v>
      </c>
      <c r="BF17" s="35">
        <v>0</v>
      </c>
      <c r="BG17" s="68">
        <f>BD17*100/BD47</f>
        <v>63.61192563478274</v>
      </c>
      <c r="BH17" s="69">
        <f t="shared" si="15"/>
        <v>4.043988718775181</v>
      </c>
      <c r="BI17" s="69">
        <f t="shared" si="16"/>
        <v>0.7477451556998455</v>
      </c>
      <c r="BJ17" s="66">
        <f>95353.21/1000</f>
        <v>95.35321</v>
      </c>
      <c r="BK17" s="66">
        <f t="shared" si="17"/>
        <v>18.418622754491018</v>
      </c>
      <c r="BL17" s="58">
        <f>BK17/BK48*100%</f>
        <v>0.026947190315399234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f>316944.1/1000</f>
        <v>316.9441</v>
      </c>
      <c r="BT17" s="58">
        <f t="shared" si="18"/>
        <v>0.02485426714031414</v>
      </c>
      <c r="BU17" s="383">
        <f t="shared" si="19"/>
        <v>0.04970853428062828</v>
      </c>
      <c r="BV17" s="169">
        <v>1.9636752110260332</v>
      </c>
      <c r="BW17" s="166">
        <f t="shared" si="20"/>
        <v>0.9803632478897397</v>
      </c>
      <c r="BX17" s="393">
        <f>1+2+1</f>
        <v>4</v>
      </c>
      <c r="BY17" s="166">
        <f t="shared" si="21"/>
        <v>0.6666666666666667</v>
      </c>
      <c r="BZ17" s="394">
        <v>0</v>
      </c>
      <c r="CA17" s="381">
        <v>1</v>
      </c>
      <c r="CB17" s="394">
        <v>0</v>
      </c>
      <c r="CC17" s="28">
        <f t="shared" si="22"/>
        <v>1</v>
      </c>
      <c r="CD17" s="395">
        <v>0</v>
      </c>
      <c r="CE17" s="387">
        <f>1-CD17/1</f>
        <v>1</v>
      </c>
      <c r="CF17" s="73"/>
      <c r="CG17" s="28">
        <f t="shared" si="23"/>
        <v>1</v>
      </c>
      <c r="CH17" s="73"/>
      <c r="CI17" s="48"/>
      <c r="CJ17" s="36"/>
      <c r="CK17" s="28">
        <f t="shared" si="24"/>
        <v>1</v>
      </c>
      <c r="CL17" s="388">
        <f t="shared" si="25"/>
        <v>4</v>
      </c>
      <c r="CM17" s="28">
        <f t="shared" si="26"/>
        <v>0.8</v>
      </c>
      <c r="CN17" s="74"/>
      <c r="CO17" s="48">
        <f t="shared" si="27"/>
        <v>1</v>
      </c>
      <c r="CP17" s="66"/>
      <c r="CQ17" s="66">
        <f t="shared" si="28"/>
        <v>1</v>
      </c>
      <c r="CR17" s="394">
        <v>0</v>
      </c>
      <c r="CS17" s="38">
        <f t="shared" si="29"/>
        <v>1</v>
      </c>
      <c r="CT17" s="394">
        <v>0</v>
      </c>
      <c r="CU17" s="381">
        <f t="shared" si="30"/>
        <v>1</v>
      </c>
      <c r="CV17" s="393">
        <v>1</v>
      </c>
      <c r="CW17" s="165">
        <f t="shared" si="31"/>
        <v>0.8</v>
      </c>
      <c r="CX17" s="393">
        <v>3</v>
      </c>
      <c r="CY17" s="165">
        <f t="shared" si="32"/>
        <v>0.7272727272727273</v>
      </c>
      <c r="CZ17" s="393">
        <v>1</v>
      </c>
      <c r="DA17" s="166">
        <f t="shared" si="33"/>
        <v>0.875</v>
      </c>
      <c r="DB17" s="388">
        <f t="shared" si="34"/>
        <v>5</v>
      </c>
      <c r="DC17" s="165">
        <f t="shared" si="35"/>
        <v>0.8148148148148149</v>
      </c>
      <c r="DD17" s="396">
        <v>0</v>
      </c>
      <c r="DE17" s="69">
        <v>1</v>
      </c>
      <c r="DF17" s="394">
        <v>1</v>
      </c>
      <c r="DG17" s="155">
        <f t="shared" si="36"/>
        <v>0.9285714285714286</v>
      </c>
      <c r="DH17" s="73">
        <v>10</v>
      </c>
      <c r="DI17" s="38">
        <f t="shared" si="37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8"/>
        <v>13</v>
      </c>
      <c r="DO17" s="390">
        <f t="shared" si="39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0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1"/>
        <v>22.201410392222645</v>
      </c>
      <c r="EQ17" s="427">
        <f t="shared" si="42"/>
        <v>8</v>
      </c>
      <c r="ER17" s="51">
        <f t="shared" si="43"/>
        <v>1.552704073700215</v>
      </c>
      <c r="ES17" s="53" t="s">
        <v>117</v>
      </c>
    </row>
    <row r="18" spans="1:149" s="54" customFormat="1" ht="18.75">
      <c r="A18" s="55">
        <f t="shared" si="0"/>
        <v>9</v>
      </c>
      <c r="B18" s="56" t="s">
        <v>132</v>
      </c>
      <c r="C18" s="57">
        <v>0</v>
      </c>
      <c r="D18" s="158">
        <v>1</v>
      </c>
      <c r="E18" s="57">
        <v>0</v>
      </c>
      <c r="F18" s="158">
        <v>1</v>
      </c>
      <c r="G18" s="189">
        <v>4224.2</v>
      </c>
      <c r="H18" s="185">
        <v>3488.02004</v>
      </c>
      <c r="I18" s="58">
        <f t="shared" si="1"/>
        <v>0.17427677666777142</v>
      </c>
      <c r="J18" s="151">
        <v>0.1</v>
      </c>
      <c r="K18" s="189">
        <v>3488.02004</v>
      </c>
      <c r="L18" s="185">
        <v>7604.18034</v>
      </c>
      <c r="M18" s="58">
        <f t="shared" si="2"/>
        <v>0.4586977010069175</v>
      </c>
      <c r="N18" s="59">
        <v>0.5</v>
      </c>
      <c r="O18" s="189">
        <v>3488.02004</v>
      </c>
      <c r="P18" s="185">
        <v>3488.02004</v>
      </c>
      <c r="Q18" s="58">
        <f t="shared" si="3"/>
        <v>1</v>
      </c>
      <c r="R18" s="28">
        <v>1</v>
      </c>
      <c r="S18" s="189">
        <v>3488.02004</v>
      </c>
      <c r="T18" s="185">
        <v>2532.50377</v>
      </c>
      <c r="U18" s="61">
        <f t="shared" si="4"/>
        <v>1.3773010256960052</v>
      </c>
      <c r="V18" s="155">
        <v>1</v>
      </c>
      <c r="W18" s="189">
        <v>936.2514</v>
      </c>
      <c r="X18" s="185">
        <v>1144.0694</v>
      </c>
      <c r="Y18" s="61">
        <f t="shared" si="5"/>
        <v>1.2219681594067577</v>
      </c>
      <c r="Z18" s="155">
        <v>0</v>
      </c>
      <c r="AA18" s="189">
        <v>1144.0694</v>
      </c>
      <c r="AB18" s="185">
        <v>2645.42102</v>
      </c>
      <c r="AC18" s="61">
        <f t="shared" si="6"/>
        <v>0.43247157686832016</v>
      </c>
      <c r="AD18" s="181">
        <f t="shared" si="7"/>
        <v>0.5675284231316798</v>
      </c>
      <c r="AE18" s="184">
        <v>4116.1603</v>
      </c>
      <c r="AF18" s="185">
        <v>7604.18034</v>
      </c>
      <c r="AG18" s="185">
        <v>131.1</v>
      </c>
      <c r="AH18" s="58">
        <f t="shared" si="8"/>
        <v>0.550798347231471</v>
      </c>
      <c r="AI18" s="60">
        <v>0.5</v>
      </c>
      <c r="AJ18" s="195">
        <v>499.3</v>
      </c>
      <c r="AK18" s="196">
        <v>103.9</v>
      </c>
      <c r="AL18" s="196">
        <f t="shared" si="9"/>
        <v>395.4</v>
      </c>
      <c r="AM18" s="147">
        <v>0</v>
      </c>
      <c r="AN18" s="66">
        <v>1924.1</v>
      </c>
      <c r="AO18" s="66">
        <v>2204.1</v>
      </c>
      <c r="AP18" s="58">
        <f t="shared" si="10"/>
        <v>0.8729640215961163</v>
      </c>
      <c r="AQ18" s="391">
        <v>1</v>
      </c>
      <c r="AR18" s="69">
        <f>AT18*100/AT46</f>
        <v>2.107563286086586</v>
      </c>
      <c r="AS18" s="144">
        <v>8065.24</v>
      </c>
      <c r="AT18" s="66">
        <v>8065.2</v>
      </c>
      <c r="AU18" s="66">
        <v>4377.7</v>
      </c>
      <c r="AV18" s="26">
        <f t="shared" si="11"/>
        <v>0.5427860795215022</v>
      </c>
      <c r="AW18" s="35">
        <v>0.8</v>
      </c>
      <c r="AX18" s="66">
        <v>1878.09</v>
      </c>
      <c r="AY18" s="66">
        <f t="shared" si="12"/>
        <v>97.60875214385948</v>
      </c>
      <c r="AZ18" s="66">
        <f t="shared" si="13"/>
        <v>42.90129520067616</v>
      </c>
      <c r="BA18" s="35">
        <v>0</v>
      </c>
      <c r="BB18" s="35">
        <v>1</v>
      </c>
      <c r="BC18" s="392">
        <v>1840</v>
      </c>
      <c r="BD18" s="36">
        <f t="shared" si="14"/>
        <v>4383.282608695652</v>
      </c>
      <c r="BE18" s="58">
        <f>BD18/BD50*100%</f>
        <v>1.1319732733813035</v>
      </c>
      <c r="BF18" s="35">
        <v>1</v>
      </c>
      <c r="BG18" s="68">
        <f>BD18*100/BD46</f>
        <v>113.19732733813035</v>
      </c>
      <c r="BH18" s="69">
        <f t="shared" si="15"/>
        <v>111.37403565303258</v>
      </c>
      <c r="BI18" s="69">
        <f t="shared" si="16"/>
        <v>26.5702998065764</v>
      </c>
      <c r="BJ18" s="66">
        <f>2142947.82/1000</f>
        <v>2142.94782</v>
      </c>
      <c r="BK18" s="66">
        <f t="shared" si="17"/>
        <v>1164.645554347826</v>
      </c>
      <c r="BL18" s="58">
        <f>BK18/BK50*100%</f>
        <v>1.703923568082318</v>
      </c>
      <c r="BM18" s="68">
        <v>1</v>
      </c>
      <c r="BN18" s="73">
        <v>857.9</v>
      </c>
      <c r="BO18" s="71">
        <v>54.38</v>
      </c>
      <c r="BP18" s="58">
        <f>BO18/(BN18+BO18)</f>
        <v>0.05960889200684001</v>
      </c>
      <c r="BQ18" s="208">
        <v>1</v>
      </c>
      <c r="BR18" s="38">
        <v>1</v>
      </c>
      <c r="BS18" s="66">
        <f>65562.1/1000</f>
        <v>65.5621</v>
      </c>
      <c r="BT18" s="58">
        <f t="shared" si="18"/>
        <v>0.008129011059862124</v>
      </c>
      <c r="BU18" s="383">
        <f t="shared" si="19"/>
        <v>0.01625802211972425</v>
      </c>
      <c r="BV18" s="169">
        <v>0</v>
      </c>
      <c r="BW18" s="166">
        <f t="shared" si="20"/>
        <v>1</v>
      </c>
      <c r="BX18" s="393">
        <f>2+2+1</f>
        <v>5</v>
      </c>
      <c r="BY18" s="166">
        <f t="shared" si="21"/>
        <v>0.5833333333333333</v>
      </c>
      <c r="BZ18" s="394">
        <v>0</v>
      </c>
      <c r="CA18" s="381">
        <v>1</v>
      </c>
      <c r="CB18" s="394">
        <v>0</v>
      </c>
      <c r="CC18" s="28">
        <f t="shared" si="22"/>
        <v>1</v>
      </c>
      <c r="CD18" s="395">
        <v>0</v>
      </c>
      <c r="CE18" s="387">
        <f>1-CD18/1</f>
        <v>1</v>
      </c>
      <c r="CF18" s="73"/>
      <c r="CG18" s="28">
        <f t="shared" si="23"/>
        <v>1</v>
      </c>
      <c r="CH18" s="73"/>
      <c r="CI18" s="48"/>
      <c r="CJ18" s="36">
        <v>1</v>
      </c>
      <c r="CK18" s="28">
        <f t="shared" si="24"/>
        <v>0</v>
      </c>
      <c r="CL18" s="388">
        <f t="shared" si="25"/>
        <v>6</v>
      </c>
      <c r="CM18" s="28">
        <f t="shared" si="26"/>
        <v>0.7</v>
      </c>
      <c r="CN18" s="74"/>
      <c r="CO18" s="48">
        <f t="shared" si="27"/>
        <v>1</v>
      </c>
      <c r="CP18" s="66"/>
      <c r="CQ18" s="66">
        <f t="shared" si="28"/>
        <v>1</v>
      </c>
      <c r="CR18" s="394">
        <v>0</v>
      </c>
      <c r="CS18" s="38">
        <f t="shared" si="29"/>
        <v>1</v>
      </c>
      <c r="CT18" s="394">
        <v>1</v>
      </c>
      <c r="CU18" s="381">
        <f t="shared" si="30"/>
        <v>0.5</v>
      </c>
      <c r="CV18" s="393">
        <v>2</v>
      </c>
      <c r="CW18" s="165">
        <f t="shared" si="31"/>
        <v>0.6</v>
      </c>
      <c r="CX18" s="393">
        <f>1+2+2</f>
        <v>5</v>
      </c>
      <c r="CY18" s="165">
        <f t="shared" si="32"/>
        <v>0.5454545454545454</v>
      </c>
      <c r="CZ18" s="393">
        <v>0</v>
      </c>
      <c r="DA18" s="166">
        <f t="shared" si="33"/>
        <v>1</v>
      </c>
      <c r="DB18" s="388">
        <f t="shared" si="34"/>
        <v>8</v>
      </c>
      <c r="DC18" s="165">
        <f t="shared" si="35"/>
        <v>0.7037037037037037</v>
      </c>
      <c r="DD18" s="396">
        <v>0</v>
      </c>
      <c r="DE18" s="69">
        <v>1</v>
      </c>
      <c r="DF18" s="394">
        <v>1</v>
      </c>
      <c r="DG18" s="155">
        <f t="shared" si="36"/>
        <v>0.9285714285714286</v>
      </c>
      <c r="DH18" s="73">
        <v>6</v>
      </c>
      <c r="DI18" s="38">
        <f t="shared" si="37"/>
        <v>0.8666666666666667</v>
      </c>
      <c r="DJ18" s="66">
        <v>1</v>
      </c>
      <c r="DK18" s="69">
        <v>0</v>
      </c>
      <c r="DL18" s="394">
        <v>2</v>
      </c>
      <c r="DM18" s="397">
        <v>0.7</v>
      </c>
      <c r="DN18" s="385">
        <f t="shared" si="38"/>
        <v>10</v>
      </c>
      <c r="DO18" s="390">
        <f t="shared" si="39"/>
        <v>0.8387096774193549</v>
      </c>
      <c r="DP18" s="175">
        <v>145</v>
      </c>
      <c r="DQ18" s="166">
        <f>1-DP18/(1450)*100/100</f>
        <v>0.9</v>
      </c>
      <c r="DR18" s="66">
        <v>2</v>
      </c>
      <c r="DS18" s="28">
        <f t="shared" si="40"/>
        <v>0.5</v>
      </c>
      <c r="DT18" s="45">
        <v>1</v>
      </c>
      <c r="DU18" s="28">
        <v>1</v>
      </c>
      <c r="DV18" s="75"/>
      <c r="DW18" s="45">
        <v>1</v>
      </c>
      <c r="DX18" s="28">
        <v>1</v>
      </c>
      <c r="DY18" s="46"/>
      <c r="DZ18" s="45">
        <v>1</v>
      </c>
      <c r="EA18" s="28">
        <v>1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1"/>
        <v>22.12619982637446</v>
      </c>
      <c r="EQ18" s="427">
        <f t="shared" si="42"/>
        <v>9</v>
      </c>
      <c r="ER18" s="51">
        <f t="shared" si="43"/>
        <v>1.552704073700215</v>
      </c>
      <c r="ES18" s="53" t="s">
        <v>117</v>
      </c>
    </row>
    <row r="19" spans="1:149" s="54" customFormat="1" ht="18.75">
      <c r="A19" s="55">
        <f t="shared" si="0"/>
        <v>10</v>
      </c>
      <c r="B19" s="56" t="s">
        <v>133</v>
      </c>
      <c r="C19" s="57">
        <v>0</v>
      </c>
      <c r="D19" s="158">
        <v>1</v>
      </c>
      <c r="E19" s="57">
        <v>0</v>
      </c>
      <c r="F19" s="158">
        <v>1</v>
      </c>
      <c r="G19" s="189">
        <v>4543.4</v>
      </c>
      <c r="H19" s="185">
        <v>4921.76718</v>
      </c>
      <c r="I19" s="58">
        <f t="shared" si="1"/>
        <v>-0.08327842144649386</v>
      </c>
      <c r="J19" s="151">
        <v>0.6</v>
      </c>
      <c r="K19" s="189">
        <v>4921.76718</v>
      </c>
      <c r="L19" s="185">
        <v>7847.75328</v>
      </c>
      <c r="M19" s="58">
        <f t="shared" si="2"/>
        <v>0.627156206929074</v>
      </c>
      <c r="N19" s="59">
        <v>0.8</v>
      </c>
      <c r="O19" s="189">
        <v>4921.76718</v>
      </c>
      <c r="P19" s="185">
        <v>4225.543</v>
      </c>
      <c r="Q19" s="58">
        <f t="shared" si="3"/>
        <v>1.164765612372185</v>
      </c>
      <c r="R19" s="28">
        <v>1</v>
      </c>
      <c r="S19" s="189">
        <v>4921.76718</v>
      </c>
      <c r="T19" s="185">
        <v>4951.01553</v>
      </c>
      <c r="U19" s="61">
        <f t="shared" si="4"/>
        <v>0.994092454401976</v>
      </c>
      <c r="V19" s="155">
        <v>0</v>
      </c>
      <c r="W19" s="189">
        <v>529.0768</v>
      </c>
      <c r="X19" s="185">
        <v>890.9126</v>
      </c>
      <c r="Y19" s="61">
        <f t="shared" si="5"/>
        <v>1.6839003335621594</v>
      </c>
      <c r="Z19" s="155">
        <v>0</v>
      </c>
      <c r="AA19" s="189">
        <v>890.9126</v>
      </c>
      <c r="AB19" s="185">
        <v>4088.35474</v>
      </c>
      <c r="AC19" s="61">
        <f t="shared" si="6"/>
        <v>0.2179147008167887</v>
      </c>
      <c r="AD19" s="181">
        <f t="shared" si="7"/>
        <v>0.7820852991832112</v>
      </c>
      <c r="AE19" s="184">
        <v>2925.9861</v>
      </c>
      <c r="AF19" s="185">
        <v>7847.75328</v>
      </c>
      <c r="AG19" s="185">
        <v>124.2</v>
      </c>
      <c r="AH19" s="58">
        <f t="shared" si="8"/>
        <v>0.37883937533994716</v>
      </c>
      <c r="AI19" s="60">
        <v>0.8</v>
      </c>
      <c r="AJ19" s="195">
        <v>4000.9</v>
      </c>
      <c r="AK19" s="196">
        <v>1594</v>
      </c>
      <c r="AL19" s="196">
        <f t="shared" si="9"/>
        <v>2406.9</v>
      </c>
      <c r="AM19" s="147">
        <v>0</v>
      </c>
      <c r="AN19" s="66">
        <v>2131.7</v>
      </c>
      <c r="AO19" s="66">
        <v>2426.5</v>
      </c>
      <c r="AP19" s="58">
        <f t="shared" si="10"/>
        <v>0.8785081392952812</v>
      </c>
      <c r="AQ19" s="391">
        <v>1</v>
      </c>
      <c r="AR19" s="69">
        <f>AT19*100/AT49</f>
        <v>2.7025007127385385</v>
      </c>
      <c r="AS19" s="144">
        <v>10341.87</v>
      </c>
      <c r="AT19" s="66">
        <v>10341.9</v>
      </c>
      <c r="AU19" s="66">
        <v>3387.2</v>
      </c>
      <c r="AV19" s="26">
        <f t="shared" si="11"/>
        <v>0.3275229721510713</v>
      </c>
      <c r="AW19" s="35">
        <v>1</v>
      </c>
      <c r="AX19" s="66">
        <v>1923.64</v>
      </c>
      <c r="AY19" s="66">
        <f t="shared" si="12"/>
        <v>90.23971478162969</v>
      </c>
      <c r="AZ19" s="66">
        <f t="shared" si="13"/>
        <v>56.7914501653283</v>
      </c>
      <c r="BA19" s="35">
        <v>0</v>
      </c>
      <c r="BB19" s="35">
        <v>1</v>
      </c>
      <c r="BC19" s="392">
        <v>2268</v>
      </c>
      <c r="BD19" s="36">
        <f t="shared" si="14"/>
        <v>4559.907407407408</v>
      </c>
      <c r="BE19" s="58">
        <f>BD19/BD50*100%</f>
        <v>1.1775862464443283</v>
      </c>
      <c r="BF19" s="35">
        <v>1</v>
      </c>
      <c r="BG19" s="68">
        <f>BD19*100/BD49</f>
        <v>117.75862464443284</v>
      </c>
      <c r="BH19" s="69">
        <f t="shared" si="15"/>
        <v>58.1160350893653</v>
      </c>
      <c r="BI19" s="69">
        <f t="shared" si="16"/>
        <v>11.979032092748914</v>
      </c>
      <c r="BJ19" s="66">
        <f>1238859.52/1000</f>
        <v>1238.85952</v>
      </c>
      <c r="BK19" s="66">
        <f t="shared" si="17"/>
        <v>546.234356261023</v>
      </c>
      <c r="BL19" s="58">
        <f>BK19/BK50*100%</f>
        <v>0.7991629640922157</v>
      </c>
      <c r="BM19" s="68">
        <v>0</v>
      </c>
      <c r="BN19" s="73">
        <v>0</v>
      </c>
      <c r="BO19" s="71">
        <v>0</v>
      </c>
      <c r="BP19" s="58"/>
      <c r="BQ19" s="208"/>
      <c r="BR19" s="38">
        <v>1</v>
      </c>
      <c r="BS19" s="66">
        <f>633389.49/1000</f>
        <v>633.38949</v>
      </c>
      <c r="BT19" s="58">
        <f t="shared" si="18"/>
        <v>0.06124498303019755</v>
      </c>
      <c r="BU19" s="383">
        <f t="shared" si="19"/>
        <v>0.1224899660603951</v>
      </c>
      <c r="BV19" s="169">
        <v>0.9742866761891249</v>
      </c>
      <c r="BW19" s="166">
        <f t="shared" si="20"/>
        <v>0.9902571332381087</v>
      </c>
      <c r="BX19" s="393">
        <f>1+1+1</f>
        <v>3</v>
      </c>
      <c r="BY19" s="166">
        <f t="shared" si="21"/>
        <v>0.75</v>
      </c>
      <c r="BZ19" s="394">
        <v>0</v>
      </c>
      <c r="CA19" s="381">
        <v>1</v>
      </c>
      <c r="CB19" s="394">
        <v>1</v>
      </c>
      <c r="CC19" s="28">
        <f t="shared" si="22"/>
        <v>0.75</v>
      </c>
      <c r="CD19" s="395">
        <v>1</v>
      </c>
      <c r="CE19" s="387">
        <v>0.5</v>
      </c>
      <c r="CF19" s="73"/>
      <c r="CG19" s="28">
        <f t="shared" si="23"/>
        <v>1</v>
      </c>
      <c r="CH19" s="73"/>
      <c r="CI19" s="48"/>
      <c r="CJ19" s="66"/>
      <c r="CK19" s="28">
        <f t="shared" si="24"/>
        <v>1</v>
      </c>
      <c r="CL19" s="388">
        <f t="shared" si="25"/>
        <v>5</v>
      </c>
      <c r="CM19" s="28">
        <f t="shared" si="26"/>
        <v>0.75</v>
      </c>
      <c r="CN19" s="74"/>
      <c r="CO19" s="48">
        <f t="shared" si="27"/>
        <v>1</v>
      </c>
      <c r="CP19" s="66"/>
      <c r="CQ19" s="66">
        <f t="shared" si="28"/>
        <v>1</v>
      </c>
      <c r="CR19" s="394">
        <v>0</v>
      </c>
      <c r="CS19" s="38">
        <f t="shared" si="29"/>
        <v>1</v>
      </c>
      <c r="CT19" s="394">
        <v>1</v>
      </c>
      <c r="CU19" s="381">
        <f t="shared" si="30"/>
        <v>0.5</v>
      </c>
      <c r="CV19" s="393"/>
      <c r="CW19" s="165">
        <f t="shared" si="31"/>
        <v>1</v>
      </c>
      <c r="CX19" s="393">
        <f>3+2+2</f>
        <v>7</v>
      </c>
      <c r="CY19" s="165">
        <f t="shared" si="32"/>
        <v>0.36363636363636365</v>
      </c>
      <c r="CZ19" s="393">
        <v>0</v>
      </c>
      <c r="DA19" s="166">
        <f t="shared" si="33"/>
        <v>1</v>
      </c>
      <c r="DB19" s="388">
        <f t="shared" si="34"/>
        <v>8</v>
      </c>
      <c r="DC19" s="165">
        <f t="shared" si="35"/>
        <v>0.7037037037037037</v>
      </c>
      <c r="DD19" s="396">
        <v>1</v>
      </c>
      <c r="DE19" s="69">
        <v>0.5</v>
      </c>
      <c r="DF19" s="394">
        <v>7</v>
      </c>
      <c r="DG19" s="155">
        <f t="shared" si="36"/>
        <v>0.5</v>
      </c>
      <c r="DH19" s="73">
        <v>2</v>
      </c>
      <c r="DI19" s="38">
        <f t="shared" si="37"/>
        <v>0.9555555555555556</v>
      </c>
      <c r="DJ19" s="66">
        <v>1</v>
      </c>
      <c r="DK19" s="69">
        <v>0</v>
      </c>
      <c r="DL19" s="394">
        <v>4</v>
      </c>
      <c r="DM19" s="397">
        <v>0.3</v>
      </c>
      <c r="DN19" s="385">
        <f t="shared" si="38"/>
        <v>15</v>
      </c>
      <c r="DO19" s="390">
        <f t="shared" si="39"/>
        <v>0.7580645161290323</v>
      </c>
      <c r="DP19" s="175">
        <v>50</v>
      </c>
      <c r="DQ19" s="166">
        <f>1-DP19/(949)*100/100</f>
        <v>0.9473129610115911</v>
      </c>
      <c r="DR19" s="66">
        <v>1</v>
      </c>
      <c r="DS19" s="28">
        <f t="shared" si="40"/>
        <v>0.75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f>0+1</f>
        <v>1</v>
      </c>
      <c r="EJ19" s="172">
        <v>1</v>
      </c>
      <c r="EK19" s="75"/>
      <c r="EL19" s="49"/>
      <c r="EM19" s="158"/>
      <c r="EN19" s="176"/>
      <c r="EO19" s="174"/>
      <c r="EP19" s="426">
        <f t="shared" si="41"/>
        <v>22.003913579326042</v>
      </c>
      <c r="EQ19" s="427">
        <f t="shared" si="42"/>
        <v>10</v>
      </c>
      <c r="ER19" s="51">
        <f t="shared" si="43"/>
        <v>1.552704073700215</v>
      </c>
      <c r="ES19" s="53" t="s">
        <v>117</v>
      </c>
    </row>
    <row r="20" spans="1:149" s="54" customFormat="1" ht="18.75">
      <c r="A20" s="55">
        <f t="shared" si="0"/>
        <v>11</v>
      </c>
      <c r="B20" s="56" t="s">
        <v>136</v>
      </c>
      <c r="C20" s="57">
        <v>0</v>
      </c>
      <c r="D20" s="158">
        <v>1</v>
      </c>
      <c r="E20" s="57">
        <v>0</v>
      </c>
      <c r="F20" s="158">
        <v>1</v>
      </c>
      <c r="G20" s="189">
        <v>6835</v>
      </c>
      <c r="H20" s="185">
        <v>9894.43062</v>
      </c>
      <c r="I20" s="58">
        <f t="shared" si="1"/>
        <v>-0.4476123803950255</v>
      </c>
      <c r="J20" s="151">
        <v>0</v>
      </c>
      <c r="K20" s="189">
        <v>9894.43062</v>
      </c>
      <c r="L20" s="185">
        <v>23133.70256</v>
      </c>
      <c r="M20" s="58">
        <f t="shared" si="2"/>
        <v>0.4277063126552103</v>
      </c>
      <c r="N20" s="59">
        <v>0.5</v>
      </c>
      <c r="O20" s="189">
        <v>9894.43062</v>
      </c>
      <c r="P20" s="185">
        <v>9640.478</v>
      </c>
      <c r="Q20" s="58">
        <f t="shared" si="3"/>
        <v>1.0263423265941793</v>
      </c>
      <c r="R20" s="28">
        <v>1</v>
      </c>
      <c r="S20" s="189">
        <v>9894.43062</v>
      </c>
      <c r="T20" s="185">
        <v>7879.4086</v>
      </c>
      <c r="U20" s="61">
        <f t="shared" si="4"/>
        <v>1.2557326472446166</v>
      </c>
      <c r="V20" s="155">
        <v>1</v>
      </c>
      <c r="W20" s="189">
        <v>992.2754</v>
      </c>
      <c r="X20" s="185">
        <v>1785.3206</v>
      </c>
      <c r="Y20" s="61">
        <f t="shared" si="5"/>
        <v>1.7992188458970162</v>
      </c>
      <c r="Z20" s="155">
        <v>0</v>
      </c>
      <c r="AA20" s="189">
        <v>1785.3206</v>
      </c>
      <c r="AB20" s="185">
        <v>5910.33068</v>
      </c>
      <c r="AC20" s="61">
        <f t="shared" si="6"/>
        <v>0.30206780240593917</v>
      </c>
      <c r="AD20" s="181">
        <f t="shared" si="7"/>
        <v>0.6979321975940609</v>
      </c>
      <c r="AE20" s="184">
        <v>13239.27194</v>
      </c>
      <c r="AF20" s="185">
        <v>23133.70256</v>
      </c>
      <c r="AG20" s="185">
        <v>192.28</v>
      </c>
      <c r="AH20" s="58">
        <f t="shared" si="8"/>
        <v>0.5770902787468642</v>
      </c>
      <c r="AI20" s="60">
        <v>0.5</v>
      </c>
      <c r="AJ20" s="195">
        <v>118</v>
      </c>
      <c r="AK20" s="196">
        <v>486.4</v>
      </c>
      <c r="AL20" s="196">
        <f t="shared" si="9"/>
        <v>-368.4</v>
      </c>
      <c r="AM20" s="147">
        <v>1</v>
      </c>
      <c r="AN20" s="66">
        <v>2523.3</v>
      </c>
      <c r="AO20" s="66">
        <v>3009.4</v>
      </c>
      <c r="AP20" s="58">
        <f t="shared" si="10"/>
        <v>0.8384727852728119</v>
      </c>
      <c r="AQ20" s="391">
        <v>1</v>
      </c>
      <c r="AR20" s="69">
        <f>AT20*100/AT48</f>
        <v>5.911666412754923</v>
      </c>
      <c r="AS20" s="144">
        <v>22622.7</v>
      </c>
      <c r="AT20" s="66">
        <v>22622.7</v>
      </c>
      <c r="AU20" s="66">
        <v>7459.3</v>
      </c>
      <c r="AV20" s="26">
        <f t="shared" si="11"/>
        <v>0.3297263368209807</v>
      </c>
      <c r="AW20" s="35">
        <v>1</v>
      </c>
      <c r="AX20" s="66">
        <v>2478.18</v>
      </c>
      <c r="AY20" s="66">
        <f t="shared" si="12"/>
        <v>98.21186541433835</v>
      </c>
      <c r="AZ20" s="66">
        <f t="shared" si="13"/>
        <v>33.22268845602134</v>
      </c>
      <c r="BA20" s="35">
        <v>0</v>
      </c>
      <c r="BB20" s="35">
        <v>1</v>
      </c>
      <c r="BC20" s="392">
        <v>3660</v>
      </c>
      <c r="BD20" s="36">
        <f t="shared" si="14"/>
        <v>6181.065573770492</v>
      </c>
      <c r="BE20" s="58">
        <f>BD20/BD50*100%</f>
        <v>1.596246844007973</v>
      </c>
      <c r="BF20" s="35">
        <v>1</v>
      </c>
      <c r="BG20" s="68">
        <f>BD20*100/BD48</f>
        <v>159.6246844007973</v>
      </c>
      <c r="BH20" s="69">
        <f t="shared" si="15"/>
        <v>184.11276701145323</v>
      </c>
      <c r="BI20" s="69">
        <f t="shared" si="16"/>
        <v>20.535645391575716</v>
      </c>
      <c r="BJ20" s="66">
        <f>4645717.45/1000</f>
        <v>4645.71745</v>
      </c>
      <c r="BK20" s="66">
        <f t="shared" si="17"/>
        <v>1269.3217076502733</v>
      </c>
      <c r="BL20" s="58">
        <f>BK20/BK50*100%</f>
        <v>1.8570690156070073</v>
      </c>
      <c r="BM20" s="68">
        <v>1</v>
      </c>
      <c r="BN20" s="73">
        <v>1404.4</v>
      </c>
      <c r="BO20" s="71">
        <v>529.48</v>
      </c>
      <c r="BP20" s="58">
        <f>BO20/(BN20+BO20)</f>
        <v>0.2737915485966037</v>
      </c>
      <c r="BQ20" s="208">
        <v>1</v>
      </c>
      <c r="BR20" s="38">
        <v>1</v>
      </c>
      <c r="BS20" s="66">
        <f>1122654.09/1000</f>
        <v>1122.65409</v>
      </c>
      <c r="BT20" s="58">
        <f t="shared" si="18"/>
        <v>0.049625115039318914</v>
      </c>
      <c r="BU20" s="383">
        <f t="shared" si="19"/>
        <v>0.09925023007863783</v>
      </c>
      <c r="BV20" s="169">
        <v>1.615758484497452</v>
      </c>
      <c r="BW20" s="166">
        <f t="shared" si="20"/>
        <v>0.9838424151550255</v>
      </c>
      <c r="BX20" s="393">
        <f>3+2+2</f>
        <v>7</v>
      </c>
      <c r="BY20" s="166">
        <f t="shared" si="21"/>
        <v>0.41666666666666663</v>
      </c>
      <c r="BZ20" s="394">
        <v>0</v>
      </c>
      <c r="CA20" s="381">
        <f>1-BZ20/1</f>
        <v>1</v>
      </c>
      <c r="CB20" s="394">
        <v>0</v>
      </c>
      <c r="CC20" s="28">
        <f t="shared" si="22"/>
        <v>1</v>
      </c>
      <c r="CD20" s="395">
        <v>0</v>
      </c>
      <c r="CE20" s="387">
        <f>1-CD20/1</f>
        <v>1</v>
      </c>
      <c r="CF20" s="73"/>
      <c r="CG20" s="28">
        <f t="shared" si="23"/>
        <v>1</v>
      </c>
      <c r="CH20" s="73"/>
      <c r="CI20" s="48"/>
      <c r="CJ20" s="36"/>
      <c r="CK20" s="28">
        <f t="shared" si="24"/>
        <v>1</v>
      </c>
      <c r="CL20" s="388">
        <f t="shared" si="25"/>
        <v>7</v>
      </c>
      <c r="CM20" s="28">
        <f t="shared" si="26"/>
        <v>0.65</v>
      </c>
      <c r="CN20" s="74"/>
      <c r="CO20" s="48">
        <f t="shared" si="27"/>
        <v>1</v>
      </c>
      <c r="CP20" s="66"/>
      <c r="CQ20" s="66">
        <f t="shared" si="28"/>
        <v>1</v>
      </c>
      <c r="CR20" s="394">
        <v>0</v>
      </c>
      <c r="CS20" s="38">
        <f t="shared" si="29"/>
        <v>1</v>
      </c>
      <c r="CT20" s="394">
        <v>0</v>
      </c>
      <c r="CU20" s="381">
        <f t="shared" si="30"/>
        <v>1</v>
      </c>
      <c r="CV20" s="393"/>
      <c r="CW20" s="165">
        <f t="shared" si="31"/>
        <v>1</v>
      </c>
      <c r="CX20" s="393">
        <v>3</v>
      </c>
      <c r="CY20" s="165">
        <f t="shared" si="32"/>
        <v>0.7272727272727273</v>
      </c>
      <c r="CZ20" s="393">
        <v>1</v>
      </c>
      <c r="DA20" s="166">
        <f t="shared" si="33"/>
        <v>0.875</v>
      </c>
      <c r="DB20" s="388">
        <f t="shared" si="34"/>
        <v>4</v>
      </c>
      <c r="DC20" s="165">
        <f t="shared" si="35"/>
        <v>0.8518518518518519</v>
      </c>
      <c r="DD20" s="396">
        <v>0</v>
      </c>
      <c r="DE20" s="69">
        <v>0.5</v>
      </c>
      <c r="DF20" s="394">
        <v>1</v>
      </c>
      <c r="DG20" s="155">
        <f t="shared" si="36"/>
        <v>0.9285714285714286</v>
      </c>
      <c r="DH20" s="73">
        <v>1</v>
      </c>
      <c r="DI20" s="38">
        <f t="shared" si="37"/>
        <v>0.9777777777777777</v>
      </c>
      <c r="DJ20" s="66">
        <v>0</v>
      </c>
      <c r="DK20" s="69">
        <v>0</v>
      </c>
      <c r="DL20" s="394">
        <v>0</v>
      </c>
      <c r="DM20" s="397">
        <v>1</v>
      </c>
      <c r="DN20" s="385">
        <f t="shared" si="38"/>
        <v>2</v>
      </c>
      <c r="DO20" s="390">
        <f t="shared" si="39"/>
        <v>0.967741935483871</v>
      </c>
      <c r="DP20" s="175">
        <v>50</v>
      </c>
      <c r="DQ20" s="166">
        <f>1-DP20/(2177)*100/100</f>
        <v>0.9770326136885622</v>
      </c>
      <c r="DR20" s="66">
        <v>1</v>
      </c>
      <c r="DS20" s="28">
        <f t="shared" si="40"/>
        <v>0.75</v>
      </c>
      <c r="DT20" s="45">
        <v>1</v>
      </c>
      <c r="DU20" s="28">
        <v>1</v>
      </c>
      <c r="DV20" s="75"/>
      <c r="DW20" s="45">
        <v>0</v>
      </c>
      <c r="DX20" s="28">
        <v>0</v>
      </c>
      <c r="DY20" s="46"/>
      <c r="DZ20" s="45">
        <v>0</v>
      </c>
      <c r="EA20" s="28">
        <v>0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v>1</v>
      </c>
      <c r="EJ20" s="172">
        <v>1</v>
      </c>
      <c r="EK20" s="75"/>
      <c r="EL20" s="49"/>
      <c r="EM20" s="158"/>
      <c r="EN20" s="176"/>
      <c r="EO20" s="174"/>
      <c r="EP20" s="426">
        <f t="shared" si="41"/>
        <v>21.97765124385201</v>
      </c>
      <c r="EQ20" s="427">
        <f t="shared" si="42"/>
        <v>11</v>
      </c>
      <c r="ER20" s="51">
        <f t="shared" si="43"/>
        <v>1.552704073700215</v>
      </c>
      <c r="ES20" s="53" t="s">
        <v>117</v>
      </c>
    </row>
    <row r="21" spans="1:149" s="54" customFormat="1" ht="37.5">
      <c r="A21" s="55">
        <f t="shared" si="0"/>
        <v>12</v>
      </c>
      <c r="B21" s="56" t="s">
        <v>140</v>
      </c>
      <c r="C21" s="57">
        <v>0</v>
      </c>
      <c r="D21" s="158">
        <v>1</v>
      </c>
      <c r="E21" s="57">
        <v>0</v>
      </c>
      <c r="F21" s="158">
        <v>1</v>
      </c>
      <c r="G21" s="189">
        <v>6736.713</v>
      </c>
      <c r="H21" s="185">
        <v>6527.9089</v>
      </c>
      <c r="I21" s="58">
        <f t="shared" si="1"/>
        <v>0.030994952582958393</v>
      </c>
      <c r="J21" s="151">
        <v>0.8</v>
      </c>
      <c r="K21" s="189">
        <v>6527.9089</v>
      </c>
      <c r="L21" s="185">
        <v>9039.76762</v>
      </c>
      <c r="M21" s="58">
        <f t="shared" si="2"/>
        <v>0.7221323793276889</v>
      </c>
      <c r="N21" s="159">
        <v>1</v>
      </c>
      <c r="O21" s="189">
        <v>6527.9089</v>
      </c>
      <c r="P21" s="185">
        <v>5464.68899</v>
      </c>
      <c r="Q21" s="58">
        <f t="shared" si="3"/>
        <v>1.1945618336094916</v>
      </c>
      <c r="R21" s="28">
        <v>1</v>
      </c>
      <c r="S21" s="189">
        <v>6527.9089</v>
      </c>
      <c r="T21" s="185">
        <v>3991.50538</v>
      </c>
      <c r="U21" s="61">
        <f t="shared" si="4"/>
        <v>1.6354503573285928</v>
      </c>
      <c r="V21" s="155">
        <v>1</v>
      </c>
      <c r="W21" s="189">
        <v>1846.5892</v>
      </c>
      <c r="X21" s="185">
        <v>2148.6243</v>
      </c>
      <c r="Y21" s="61">
        <f t="shared" si="5"/>
        <v>1.1635637747691798</v>
      </c>
      <c r="Z21" s="155">
        <v>0</v>
      </c>
      <c r="AA21" s="189">
        <v>2148.6243</v>
      </c>
      <c r="AB21" s="185">
        <v>5715.41061</v>
      </c>
      <c r="AC21" s="61">
        <f t="shared" si="6"/>
        <v>0.3759352471090437</v>
      </c>
      <c r="AD21" s="181">
        <f t="shared" si="7"/>
        <v>0.6240647528909563</v>
      </c>
      <c r="AE21" s="184">
        <v>2511.85872</v>
      </c>
      <c r="AF21" s="185">
        <v>9039.76762</v>
      </c>
      <c r="AG21" s="185">
        <v>101.89</v>
      </c>
      <c r="AH21" s="58">
        <f t="shared" si="8"/>
        <v>0.28103525543684943</v>
      </c>
      <c r="AI21" s="158">
        <v>1</v>
      </c>
      <c r="AJ21" s="197">
        <v>374.8</v>
      </c>
      <c r="AK21" s="185">
        <v>342.5</v>
      </c>
      <c r="AL21" s="185">
        <f t="shared" si="9"/>
        <v>32.30000000000001</v>
      </c>
      <c r="AM21" s="147">
        <v>0</v>
      </c>
      <c r="AN21" s="66">
        <v>1863.9</v>
      </c>
      <c r="AO21" s="66">
        <v>2426.5</v>
      </c>
      <c r="AP21" s="58">
        <f t="shared" si="10"/>
        <v>0.7681434164434371</v>
      </c>
      <c r="AQ21" s="391">
        <v>1</v>
      </c>
      <c r="AR21" s="69">
        <f>AT21*100/AT51</f>
        <v>2.097659421515009</v>
      </c>
      <c r="AS21" s="144">
        <v>8027.33</v>
      </c>
      <c r="AT21" s="66">
        <v>8027.3</v>
      </c>
      <c r="AU21" s="66">
        <v>4467.2</v>
      </c>
      <c r="AV21" s="26">
        <f t="shared" si="11"/>
        <v>0.556498860766905</v>
      </c>
      <c r="AW21" s="35">
        <v>0.8</v>
      </c>
      <c r="AX21" s="66">
        <v>1801.28</v>
      </c>
      <c r="AY21" s="66">
        <f t="shared" si="12"/>
        <v>96.64037770266644</v>
      </c>
      <c r="AZ21" s="66">
        <f t="shared" si="13"/>
        <v>40.32234957020057</v>
      </c>
      <c r="BA21" s="35">
        <v>0</v>
      </c>
      <c r="BB21" s="35">
        <v>1</v>
      </c>
      <c r="BC21" s="392">
        <v>2213</v>
      </c>
      <c r="BD21" s="36">
        <f t="shared" si="14"/>
        <v>3627.3520108450066</v>
      </c>
      <c r="BE21" s="58">
        <f>BD21/BD51*100%</f>
        <v>0.9367558279899117</v>
      </c>
      <c r="BF21" s="35">
        <v>0.9</v>
      </c>
      <c r="BG21" s="68">
        <f>BD21*100/BD51</f>
        <v>93.67558279899117</v>
      </c>
      <c r="BH21" s="69">
        <f t="shared" si="15"/>
        <v>86.0753216374269</v>
      </c>
      <c r="BI21" s="69">
        <f t="shared" si="16"/>
        <v>19.98627085072191</v>
      </c>
      <c r="BJ21" s="66">
        <f>1604357.92/1000</f>
        <v>1604.35792</v>
      </c>
      <c r="BK21" s="66">
        <f t="shared" si="17"/>
        <v>724.9696882060551</v>
      </c>
      <c r="BL21" s="58">
        <f>BK21/BK51*100%</f>
        <v>1.0606599864379527</v>
      </c>
      <c r="BM21" s="68">
        <v>1</v>
      </c>
      <c r="BN21" s="73">
        <v>322.8</v>
      </c>
      <c r="BO21" s="71">
        <v>195.07</v>
      </c>
      <c r="BP21" s="58">
        <f>BO21/(BN21+BO21)</f>
        <v>0.3766775445575144</v>
      </c>
      <c r="BQ21" s="208">
        <v>1</v>
      </c>
      <c r="BR21" s="38">
        <v>1</v>
      </c>
      <c r="BS21" s="66">
        <v>0</v>
      </c>
      <c r="BT21" s="58">
        <f t="shared" si="18"/>
        <v>0</v>
      </c>
      <c r="BU21" s="383">
        <f t="shared" si="19"/>
        <v>0</v>
      </c>
      <c r="BV21" s="169">
        <v>0</v>
      </c>
      <c r="BW21" s="166">
        <f t="shared" si="20"/>
        <v>1</v>
      </c>
      <c r="BX21" s="393">
        <f>2+2+2</f>
        <v>6</v>
      </c>
      <c r="BY21" s="166">
        <f t="shared" si="21"/>
        <v>0.5</v>
      </c>
      <c r="BZ21" s="394">
        <v>2</v>
      </c>
      <c r="CA21" s="381">
        <v>0</v>
      </c>
      <c r="CB21" s="394">
        <v>4</v>
      </c>
      <c r="CC21" s="28">
        <f t="shared" si="22"/>
        <v>0</v>
      </c>
      <c r="CD21" s="395">
        <v>1</v>
      </c>
      <c r="CE21" s="387">
        <v>0.5</v>
      </c>
      <c r="CF21" s="73"/>
      <c r="CG21" s="28">
        <f t="shared" si="23"/>
        <v>1</v>
      </c>
      <c r="CH21" s="73"/>
      <c r="CI21" s="48"/>
      <c r="CJ21" s="36"/>
      <c r="CK21" s="28">
        <f t="shared" si="24"/>
        <v>1</v>
      </c>
      <c r="CL21" s="388">
        <f t="shared" si="25"/>
        <v>13</v>
      </c>
      <c r="CM21" s="28">
        <f t="shared" si="26"/>
        <v>0.35</v>
      </c>
      <c r="CN21" s="74"/>
      <c r="CO21" s="48">
        <f t="shared" si="27"/>
        <v>1</v>
      </c>
      <c r="CP21" s="66"/>
      <c r="CQ21" s="66">
        <f t="shared" si="28"/>
        <v>1</v>
      </c>
      <c r="CR21" s="394">
        <v>2</v>
      </c>
      <c r="CS21" s="38">
        <f t="shared" si="29"/>
        <v>0.33333333333333337</v>
      </c>
      <c r="CT21" s="394">
        <v>2</v>
      </c>
      <c r="CU21" s="381">
        <f t="shared" si="30"/>
        <v>0</v>
      </c>
      <c r="CV21" s="393">
        <v>2</v>
      </c>
      <c r="CW21" s="165">
        <f t="shared" si="31"/>
        <v>0.6</v>
      </c>
      <c r="CX21" s="393">
        <f>4+2+2+3</f>
        <v>11</v>
      </c>
      <c r="CY21" s="165">
        <f t="shared" si="32"/>
        <v>0</v>
      </c>
      <c r="CZ21" s="393">
        <v>2</v>
      </c>
      <c r="DA21" s="166">
        <f t="shared" si="33"/>
        <v>0.75</v>
      </c>
      <c r="DB21" s="388">
        <f t="shared" si="34"/>
        <v>19</v>
      </c>
      <c r="DC21" s="165">
        <f t="shared" si="35"/>
        <v>0.2962962962962963</v>
      </c>
      <c r="DD21" s="396">
        <v>1</v>
      </c>
      <c r="DE21" s="69">
        <v>0.5</v>
      </c>
      <c r="DF21" s="394">
        <v>10</v>
      </c>
      <c r="DG21" s="155">
        <f t="shared" si="36"/>
        <v>0.2857142857142857</v>
      </c>
      <c r="DH21" s="73">
        <v>28</v>
      </c>
      <c r="DI21" s="38">
        <f t="shared" si="37"/>
        <v>0.37777777777777777</v>
      </c>
      <c r="DJ21" s="66">
        <v>1</v>
      </c>
      <c r="DK21" s="69">
        <v>0</v>
      </c>
      <c r="DL21" s="394">
        <v>5</v>
      </c>
      <c r="DM21" s="397">
        <v>0.7</v>
      </c>
      <c r="DN21" s="385">
        <f t="shared" si="38"/>
        <v>45</v>
      </c>
      <c r="DO21" s="390">
        <f t="shared" si="39"/>
        <v>0.27419354838709675</v>
      </c>
      <c r="DP21" s="175">
        <v>699</v>
      </c>
      <c r="DQ21" s="166">
        <f>1-DP21/(1748)*100/100</f>
        <v>0.6001144164759725</v>
      </c>
      <c r="DR21" s="66">
        <v>3</v>
      </c>
      <c r="DS21" s="28">
        <f t="shared" si="40"/>
        <v>0.25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1"/>
        <v>21.894669014050322</v>
      </c>
      <c r="EQ21" s="427">
        <f t="shared" si="42"/>
        <v>12</v>
      </c>
      <c r="ER21" s="51">
        <f t="shared" si="43"/>
        <v>1.552704073700215</v>
      </c>
      <c r="ES21" s="53" t="s">
        <v>117</v>
      </c>
    </row>
    <row r="22" spans="1:149" s="54" customFormat="1" ht="18.75">
      <c r="A22" s="55">
        <f t="shared" si="0"/>
        <v>13</v>
      </c>
      <c r="B22" s="56" t="s">
        <v>131</v>
      </c>
      <c r="C22" s="57">
        <v>0</v>
      </c>
      <c r="D22" s="158">
        <v>1</v>
      </c>
      <c r="E22" s="57">
        <v>0</v>
      </c>
      <c r="F22" s="158">
        <v>1</v>
      </c>
      <c r="G22" s="189">
        <v>9575.8</v>
      </c>
      <c r="H22" s="185">
        <v>6712.00074</v>
      </c>
      <c r="I22" s="58">
        <f t="shared" si="1"/>
        <v>0.2990663192631424</v>
      </c>
      <c r="J22" s="151">
        <v>0</v>
      </c>
      <c r="K22" s="189">
        <v>6712.00074</v>
      </c>
      <c r="L22" s="185">
        <v>16196.11282</v>
      </c>
      <c r="M22" s="58">
        <f t="shared" si="2"/>
        <v>0.4144204732700794</v>
      </c>
      <c r="N22" s="59">
        <v>0.5</v>
      </c>
      <c r="O22" s="189">
        <v>6712.00074</v>
      </c>
      <c r="P22" s="185">
        <v>6905.58673</v>
      </c>
      <c r="Q22" s="58">
        <f t="shared" si="3"/>
        <v>0.9719667571244884</v>
      </c>
      <c r="R22" s="28">
        <v>1</v>
      </c>
      <c r="S22" s="189">
        <v>6712.00074</v>
      </c>
      <c r="T22" s="185">
        <v>4122.30338</v>
      </c>
      <c r="U22" s="61">
        <f t="shared" si="4"/>
        <v>1.6282161018435282</v>
      </c>
      <c r="V22" s="155">
        <v>1</v>
      </c>
      <c r="W22" s="189">
        <v>2484.6646</v>
      </c>
      <c r="X22" s="185">
        <v>1136.4411</v>
      </c>
      <c r="Y22" s="61">
        <f t="shared" si="5"/>
        <v>0.4573820949515681</v>
      </c>
      <c r="Z22" s="155">
        <v>0.54</v>
      </c>
      <c r="AA22" s="189">
        <v>1136.4411</v>
      </c>
      <c r="AB22" s="185">
        <v>4663.44645</v>
      </c>
      <c r="AC22" s="61">
        <f t="shared" si="6"/>
        <v>0.24369125113466242</v>
      </c>
      <c r="AD22" s="181">
        <f t="shared" si="7"/>
        <v>0.7563087488653376</v>
      </c>
      <c r="AE22" s="184">
        <v>9484.11208</v>
      </c>
      <c r="AF22" s="185">
        <v>16196.11282</v>
      </c>
      <c r="AG22" s="185">
        <v>321.54</v>
      </c>
      <c r="AH22" s="58">
        <f t="shared" si="8"/>
        <v>0.597440459503338</v>
      </c>
      <c r="AI22" s="60">
        <v>0.5</v>
      </c>
      <c r="AJ22" s="195">
        <v>268.2</v>
      </c>
      <c r="AK22" s="196">
        <v>443.1</v>
      </c>
      <c r="AL22" s="196">
        <f t="shared" si="9"/>
        <v>-174.90000000000003</v>
      </c>
      <c r="AM22" s="147">
        <v>1</v>
      </c>
      <c r="AN22" s="66">
        <v>2542.5</v>
      </c>
      <c r="AO22" s="66">
        <v>3604.1</v>
      </c>
      <c r="AP22" s="58">
        <f t="shared" si="10"/>
        <v>0.7054465747343304</v>
      </c>
      <c r="AQ22" s="391">
        <v>1</v>
      </c>
      <c r="AR22" s="69">
        <f>AT22*100/AT54</f>
        <v>4.216589940025436</v>
      </c>
      <c r="AS22" s="144">
        <v>16136.02</v>
      </c>
      <c r="AT22" s="66">
        <v>16136</v>
      </c>
      <c r="AU22" s="66">
        <v>6007.9</v>
      </c>
      <c r="AV22" s="26">
        <f t="shared" si="11"/>
        <v>0.3723284924039509</v>
      </c>
      <c r="AW22" s="35">
        <v>1</v>
      </c>
      <c r="AX22" s="66">
        <v>2454.23</v>
      </c>
      <c r="AY22" s="66">
        <f t="shared" si="12"/>
        <v>96.52822025565388</v>
      </c>
      <c r="AZ22" s="66">
        <f t="shared" si="13"/>
        <v>40.850047437540574</v>
      </c>
      <c r="BA22" s="35">
        <v>0</v>
      </c>
      <c r="BB22" s="35">
        <v>1</v>
      </c>
      <c r="BC22" s="392">
        <v>6456</v>
      </c>
      <c r="BD22" s="36">
        <f t="shared" si="14"/>
        <v>2499.383519206939</v>
      </c>
      <c r="BE22" s="58">
        <f>BD22/BD57*100%</f>
        <v>0.6454603994867367</v>
      </c>
      <c r="BF22" s="35">
        <v>0</v>
      </c>
      <c r="BG22" s="68">
        <f>BD22*100/BD54</f>
        <v>64.54603994867367</v>
      </c>
      <c r="BH22" s="69">
        <f t="shared" si="15"/>
        <v>139.10756302851527</v>
      </c>
      <c r="BI22" s="69">
        <f t="shared" si="16"/>
        <v>21.918751797223603</v>
      </c>
      <c r="BJ22" s="66">
        <f>3536809.79/1000</f>
        <v>3536.8097900000002</v>
      </c>
      <c r="BK22" s="66">
        <f t="shared" si="17"/>
        <v>547.8329910161091</v>
      </c>
      <c r="BL22" s="58">
        <f>BK22/BK57*100%</f>
        <v>0.8015018314203721</v>
      </c>
      <c r="BM22" s="68">
        <v>0</v>
      </c>
      <c r="BN22" s="73">
        <v>861.9</v>
      </c>
      <c r="BO22" s="71">
        <v>273.21</v>
      </c>
      <c r="BP22" s="58">
        <f>BO22/(BN22+BO22)</f>
        <v>0.24069032957158337</v>
      </c>
      <c r="BQ22" s="208">
        <v>1</v>
      </c>
      <c r="BR22" s="38">
        <v>1</v>
      </c>
      <c r="BS22" s="66">
        <f>15240/1000</f>
        <v>15.24</v>
      </c>
      <c r="BT22" s="58">
        <f t="shared" si="18"/>
        <v>0.0009444719881011403</v>
      </c>
      <c r="BU22" s="383">
        <f t="shared" si="19"/>
        <v>0.0018889439762022806</v>
      </c>
      <c r="BV22" s="169">
        <v>0.6703077442774636</v>
      </c>
      <c r="BW22" s="166">
        <f t="shared" si="20"/>
        <v>0.9932969225572253</v>
      </c>
      <c r="BX22" s="393">
        <f>4+3+2</f>
        <v>9</v>
      </c>
      <c r="BY22" s="166">
        <f t="shared" si="21"/>
        <v>0.25</v>
      </c>
      <c r="BZ22" s="394">
        <v>0</v>
      </c>
      <c r="CA22" s="381">
        <v>1</v>
      </c>
      <c r="CB22" s="394">
        <v>1</v>
      </c>
      <c r="CC22" s="28">
        <f t="shared" si="22"/>
        <v>0.75</v>
      </c>
      <c r="CD22" s="395">
        <v>1</v>
      </c>
      <c r="CE22" s="387">
        <v>0.5</v>
      </c>
      <c r="CF22" s="73"/>
      <c r="CG22" s="28">
        <f t="shared" si="23"/>
        <v>1</v>
      </c>
      <c r="CH22" s="73"/>
      <c r="CI22" s="48"/>
      <c r="CJ22" s="36">
        <v>1</v>
      </c>
      <c r="CK22" s="28">
        <f t="shared" si="24"/>
        <v>0</v>
      </c>
      <c r="CL22" s="388">
        <f t="shared" si="25"/>
        <v>12</v>
      </c>
      <c r="CM22" s="28">
        <f t="shared" si="26"/>
        <v>0.4</v>
      </c>
      <c r="CN22" s="74"/>
      <c r="CO22" s="48">
        <f t="shared" si="27"/>
        <v>1</v>
      </c>
      <c r="CP22" s="66"/>
      <c r="CQ22" s="66">
        <f t="shared" si="28"/>
        <v>1</v>
      </c>
      <c r="CR22" s="394">
        <v>0</v>
      </c>
      <c r="CS22" s="38">
        <f t="shared" si="29"/>
        <v>1</v>
      </c>
      <c r="CT22" s="394">
        <v>0</v>
      </c>
      <c r="CU22" s="381">
        <f t="shared" si="30"/>
        <v>1</v>
      </c>
      <c r="CV22" s="393">
        <v>1</v>
      </c>
      <c r="CW22" s="165">
        <f t="shared" si="31"/>
        <v>0.8</v>
      </c>
      <c r="CX22" s="393">
        <f>2+4+1+3</f>
        <v>10</v>
      </c>
      <c r="CY22" s="165">
        <f t="shared" si="32"/>
        <v>0.09090909090909094</v>
      </c>
      <c r="CZ22" s="393">
        <v>7</v>
      </c>
      <c r="DA22" s="166">
        <f t="shared" si="33"/>
        <v>0.125</v>
      </c>
      <c r="DB22" s="388">
        <f t="shared" si="34"/>
        <v>18</v>
      </c>
      <c r="DC22" s="165">
        <f t="shared" si="35"/>
        <v>0.33333333333333337</v>
      </c>
      <c r="DD22" s="396">
        <v>0</v>
      </c>
      <c r="DE22" s="69">
        <v>0.5</v>
      </c>
      <c r="DF22" s="394">
        <v>4</v>
      </c>
      <c r="DG22" s="155">
        <f t="shared" si="36"/>
        <v>0.7142857142857143</v>
      </c>
      <c r="DH22" s="73">
        <v>1</v>
      </c>
      <c r="DI22" s="38">
        <f t="shared" si="37"/>
        <v>0.9777777777777777</v>
      </c>
      <c r="DJ22" s="66">
        <v>0</v>
      </c>
      <c r="DK22" s="69">
        <v>0</v>
      </c>
      <c r="DL22" s="394">
        <v>3</v>
      </c>
      <c r="DM22" s="397">
        <v>0</v>
      </c>
      <c r="DN22" s="385">
        <f t="shared" si="38"/>
        <v>8</v>
      </c>
      <c r="DO22" s="390">
        <f t="shared" si="39"/>
        <v>0.8709677419354839</v>
      </c>
      <c r="DP22" s="175">
        <v>202</v>
      </c>
      <c r="DQ22" s="166">
        <f>1-DP22/(2018)*100/100</f>
        <v>0.8999008919722498</v>
      </c>
      <c r="DR22" s="66">
        <v>1</v>
      </c>
      <c r="DS22" s="28">
        <f t="shared" si="40"/>
        <v>0.75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1"/>
        <v>21.545696582639835</v>
      </c>
      <c r="EQ22" s="427">
        <f t="shared" si="42"/>
        <v>13</v>
      </c>
      <c r="ER22" s="51">
        <f t="shared" si="43"/>
        <v>1.552704073700215</v>
      </c>
      <c r="ES22" s="53" t="s">
        <v>117</v>
      </c>
    </row>
    <row r="23" spans="1:149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69">
        <f>AT23*100/AT54</f>
        <v>2.1228502538289935</v>
      </c>
      <c r="AS23" s="144">
        <v>8123.68</v>
      </c>
      <c r="AT23" s="66">
        <v>8123.7</v>
      </c>
      <c r="AU23" s="66">
        <v>4182.7</v>
      </c>
      <c r="AV23" s="26">
        <f t="shared" si="11"/>
        <v>0.5148774939436315</v>
      </c>
      <c r="AW23" s="35">
        <v>0.8</v>
      </c>
      <c r="AX23" s="66">
        <v>1937.58</v>
      </c>
      <c r="AY23" s="66">
        <f t="shared" si="12"/>
        <v>96.00059455977804</v>
      </c>
      <c r="AZ23" s="66">
        <f t="shared" si="13"/>
        <v>46.32366653118799</v>
      </c>
      <c r="BA23" s="35">
        <v>0</v>
      </c>
      <c r="BB23" s="35">
        <v>1</v>
      </c>
      <c r="BC23" s="392">
        <v>2204</v>
      </c>
      <c r="BD23" s="36">
        <f t="shared" si="14"/>
        <v>3685.880217785844</v>
      </c>
      <c r="BE23" s="58">
        <f>BD23/BD57*100%</f>
        <v>0.9518706111126164</v>
      </c>
      <c r="BF23" s="35">
        <v>0.9</v>
      </c>
      <c r="BG23" s="68">
        <f>BD23*100/BD54</f>
        <v>95.18706111126164</v>
      </c>
      <c r="BH23" s="69">
        <f t="shared" si="15"/>
        <v>65.68159589753753</v>
      </c>
      <c r="BI23" s="69">
        <f t="shared" si="16"/>
        <v>16.31832354715216</v>
      </c>
      <c r="BJ23" s="66">
        <f>1325651.65/1000</f>
        <v>1325.65165</v>
      </c>
      <c r="BK23" s="66">
        <f t="shared" si="17"/>
        <v>601.475340290381</v>
      </c>
      <c r="BL23" s="58">
        <f>BK23/BK57*100%</f>
        <v>0.8799827588016805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0</v>
      </c>
      <c r="BT23" s="58">
        <f t="shared" si="18"/>
        <v>0</v>
      </c>
      <c r="BU23" s="383">
        <f t="shared" si="19"/>
        <v>0</v>
      </c>
      <c r="BV23" s="169">
        <v>0</v>
      </c>
      <c r="BW23" s="166">
        <f t="shared" si="20"/>
        <v>1</v>
      </c>
      <c r="BX23" s="393">
        <f>4+3+2</f>
        <v>9</v>
      </c>
      <c r="BY23" s="166">
        <f t="shared" si="21"/>
        <v>0.25</v>
      </c>
      <c r="BZ23" s="394">
        <v>2</v>
      </c>
      <c r="CA23" s="381">
        <v>0</v>
      </c>
      <c r="CB23" s="394">
        <v>2</v>
      </c>
      <c r="CC23" s="28">
        <f t="shared" si="22"/>
        <v>0.5</v>
      </c>
      <c r="CD23" s="395">
        <v>0</v>
      </c>
      <c r="CE23" s="387">
        <f>1-CD23/1</f>
        <v>1</v>
      </c>
      <c r="CF23" s="73"/>
      <c r="CG23" s="28">
        <f t="shared" si="23"/>
        <v>1</v>
      </c>
      <c r="CH23" s="73"/>
      <c r="CI23" s="48"/>
      <c r="CJ23" s="36">
        <v>1</v>
      </c>
      <c r="CK23" s="28">
        <f t="shared" si="24"/>
        <v>0</v>
      </c>
      <c r="CL23" s="388">
        <f t="shared" si="25"/>
        <v>14</v>
      </c>
      <c r="CM23" s="28">
        <f t="shared" si="26"/>
        <v>0.30000000000000004</v>
      </c>
      <c r="CN23" s="74"/>
      <c r="CO23" s="48">
        <f t="shared" si="27"/>
        <v>1</v>
      </c>
      <c r="CP23" s="66"/>
      <c r="CQ23" s="66">
        <f t="shared" si="28"/>
        <v>1</v>
      </c>
      <c r="CR23" s="394">
        <v>3</v>
      </c>
      <c r="CS23" s="38">
        <f t="shared" si="29"/>
        <v>0</v>
      </c>
      <c r="CT23" s="394">
        <v>1</v>
      </c>
      <c r="CU23" s="381">
        <f t="shared" si="30"/>
        <v>0.5</v>
      </c>
      <c r="CV23" s="393">
        <v>5</v>
      </c>
      <c r="CW23" s="165">
        <f t="shared" si="31"/>
        <v>0</v>
      </c>
      <c r="CX23" s="393">
        <f>4+2+2+2</f>
        <v>10</v>
      </c>
      <c r="CY23" s="165">
        <f t="shared" si="32"/>
        <v>0.09090909090909094</v>
      </c>
      <c r="CZ23" s="393">
        <v>8</v>
      </c>
      <c r="DA23" s="166">
        <f t="shared" si="33"/>
        <v>0</v>
      </c>
      <c r="DB23" s="388">
        <f t="shared" si="34"/>
        <v>27</v>
      </c>
      <c r="DC23" s="165">
        <f t="shared" si="35"/>
        <v>0</v>
      </c>
      <c r="DD23" s="396">
        <v>1</v>
      </c>
      <c r="DE23" s="69">
        <v>0.5</v>
      </c>
      <c r="DF23" s="394">
        <v>11</v>
      </c>
      <c r="DG23" s="155">
        <f t="shared" si="36"/>
        <v>0.2142857142857143</v>
      </c>
      <c r="DH23" s="73">
        <v>10</v>
      </c>
      <c r="DI23" s="38">
        <f t="shared" si="37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8"/>
        <v>28</v>
      </c>
      <c r="DO23" s="390">
        <f t="shared" si="39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0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1"/>
        <v>21.324641060239564</v>
      </c>
      <c r="EQ23" s="427">
        <f t="shared" si="42"/>
        <v>14</v>
      </c>
      <c r="ER23" s="51">
        <f t="shared" si="43"/>
        <v>1.552704073700215</v>
      </c>
      <c r="ES23" s="53" t="s">
        <v>117</v>
      </c>
    </row>
    <row r="24" spans="1:149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69">
        <f>AT24*100/AT54</f>
        <v>3.211700462189057</v>
      </c>
      <c r="AS24" s="144">
        <v>12290.45</v>
      </c>
      <c r="AT24" s="66">
        <v>12290.5</v>
      </c>
      <c r="AU24" s="66">
        <v>4132.4</v>
      </c>
      <c r="AV24" s="26">
        <f t="shared" si="11"/>
        <v>0.33622853516348056</v>
      </c>
      <c r="AW24" s="35">
        <v>1</v>
      </c>
      <c r="AX24" s="66">
        <v>2164.17</v>
      </c>
      <c r="AY24" s="66">
        <f t="shared" si="12"/>
        <v>99.91551246537396</v>
      </c>
      <c r="AZ24" s="66">
        <f t="shared" si="13"/>
        <v>52.3707772722873</v>
      </c>
      <c r="BA24" s="35">
        <v>0</v>
      </c>
      <c r="BB24" s="35">
        <v>1</v>
      </c>
      <c r="BC24" s="392">
        <v>2789</v>
      </c>
      <c r="BD24" s="36">
        <f t="shared" si="14"/>
        <v>4406.758694872714</v>
      </c>
      <c r="BE24" s="58">
        <f>BD24/BD57*100%</f>
        <v>1.1380359219687597</v>
      </c>
      <c r="BF24" s="35">
        <v>1</v>
      </c>
      <c r="BG24" s="68">
        <f>BD24*100/BD54</f>
        <v>113.80359219687598</v>
      </c>
      <c r="BH24" s="69">
        <f t="shared" si="15"/>
        <v>64.66352585410895</v>
      </c>
      <c r="BI24" s="69">
        <f t="shared" si="16"/>
        <v>11.395890891338837</v>
      </c>
      <c r="BJ24" s="66">
        <f>1400611.97/1000</f>
        <v>1400.61197</v>
      </c>
      <c r="BK24" s="66">
        <f t="shared" si="17"/>
        <v>502.19145571889567</v>
      </c>
      <c r="BL24" s="58">
        <f>BK24/BK57*100%</f>
        <v>0.7347264186039534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f>1082831.78/1000</f>
        <v>1082.83178</v>
      </c>
      <c r="BT24" s="58">
        <f t="shared" si="18"/>
        <v>0.08810315121435254</v>
      </c>
      <c r="BU24" s="383">
        <f t="shared" si="19"/>
        <v>0.17620630242870508</v>
      </c>
      <c r="BV24" s="169">
        <v>0</v>
      </c>
      <c r="BW24" s="166">
        <f t="shared" si="20"/>
        <v>1</v>
      </c>
      <c r="BX24" s="393">
        <f>2+1+1</f>
        <v>4</v>
      </c>
      <c r="BY24" s="166">
        <f t="shared" si="21"/>
        <v>0.6666666666666667</v>
      </c>
      <c r="BZ24" s="394">
        <v>0</v>
      </c>
      <c r="CA24" s="381">
        <v>1</v>
      </c>
      <c r="CB24" s="394">
        <v>0</v>
      </c>
      <c r="CC24" s="28">
        <f t="shared" si="22"/>
        <v>1</v>
      </c>
      <c r="CD24" s="395">
        <v>0</v>
      </c>
      <c r="CE24" s="387">
        <f>1-CD24/1</f>
        <v>1</v>
      </c>
      <c r="CF24" s="73"/>
      <c r="CG24" s="28">
        <f t="shared" si="23"/>
        <v>1</v>
      </c>
      <c r="CH24" s="73"/>
      <c r="CI24" s="48"/>
      <c r="CJ24" s="66">
        <v>1</v>
      </c>
      <c r="CK24" s="28">
        <f t="shared" si="24"/>
        <v>0</v>
      </c>
      <c r="CL24" s="388">
        <f t="shared" si="25"/>
        <v>5</v>
      </c>
      <c r="CM24" s="28">
        <f t="shared" si="26"/>
        <v>0.75</v>
      </c>
      <c r="CN24" s="74"/>
      <c r="CO24" s="48">
        <f t="shared" si="27"/>
        <v>1</v>
      </c>
      <c r="CP24" s="66"/>
      <c r="CQ24" s="66">
        <f t="shared" si="28"/>
        <v>1</v>
      </c>
      <c r="CR24" s="394">
        <v>2</v>
      </c>
      <c r="CS24" s="38">
        <f t="shared" si="29"/>
        <v>0.33333333333333337</v>
      </c>
      <c r="CT24" s="394">
        <v>1</v>
      </c>
      <c r="CU24" s="381">
        <f t="shared" si="30"/>
        <v>0.5</v>
      </c>
      <c r="CV24" s="393">
        <v>5</v>
      </c>
      <c r="CW24" s="165">
        <f t="shared" si="31"/>
        <v>0</v>
      </c>
      <c r="CX24" s="393">
        <f>2+4+1+2</f>
        <v>9</v>
      </c>
      <c r="CY24" s="165">
        <f t="shared" si="32"/>
        <v>0.18181818181818177</v>
      </c>
      <c r="CZ24" s="393">
        <v>2</v>
      </c>
      <c r="DA24" s="166">
        <f t="shared" si="33"/>
        <v>0.75</v>
      </c>
      <c r="DB24" s="388">
        <f t="shared" si="34"/>
        <v>19</v>
      </c>
      <c r="DC24" s="165">
        <f t="shared" si="35"/>
        <v>0.2962962962962963</v>
      </c>
      <c r="DD24" s="396">
        <v>2</v>
      </c>
      <c r="DE24" s="69">
        <v>0</v>
      </c>
      <c r="DF24" s="394">
        <v>10</v>
      </c>
      <c r="DG24" s="155">
        <f t="shared" si="36"/>
        <v>0.2857142857142857</v>
      </c>
      <c r="DH24" s="73">
        <v>4</v>
      </c>
      <c r="DI24" s="38">
        <f t="shared" si="37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8"/>
        <v>21</v>
      </c>
      <c r="DO24" s="390">
        <f t="shared" si="39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0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1"/>
        <v>21.197252457964836</v>
      </c>
      <c r="EQ24" s="427">
        <f t="shared" si="42"/>
        <v>15</v>
      </c>
      <c r="ER24" s="51">
        <f t="shared" si="43"/>
        <v>1.552704073700215</v>
      </c>
      <c r="ES24" s="53" t="s">
        <v>117</v>
      </c>
    </row>
    <row r="25" spans="1:149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69">
        <f>AT25*100/AT55</f>
        <v>6.020086291666459</v>
      </c>
      <c r="AS25" s="144">
        <v>23037.58</v>
      </c>
      <c r="AT25" s="66">
        <v>23037.6</v>
      </c>
      <c r="AU25" s="66">
        <v>6303.2</v>
      </c>
      <c r="AV25" s="26">
        <f t="shared" si="11"/>
        <v>0.27360512692739425</v>
      </c>
      <c r="AW25" s="35">
        <v>1</v>
      </c>
      <c r="AX25" s="66">
        <v>2652.35</v>
      </c>
      <c r="AY25" s="66">
        <f t="shared" si="12"/>
        <v>97.99564028670657</v>
      </c>
      <c r="AZ25" s="66">
        <f t="shared" si="13"/>
        <v>42.079419977154465</v>
      </c>
      <c r="BA25" s="35">
        <v>0</v>
      </c>
      <c r="BB25" s="35">
        <v>1</v>
      </c>
      <c r="BC25" s="392">
        <v>3721</v>
      </c>
      <c r="BD25" s="36">
        <f t="shared" si="14"/>
        <v>6191.233539371136</v>
      </c>
      <c r="BE25" s="58">
        <f>BD25/BD55*100%</f>
        <v>1.598872699179108</v>
      </c>
      <c r="BF25" s="35">
        <v>1</v>
      </c>
      <c r="BG25" s="68">
        <f>BD25*100/BD55</f>
        <v>159.8872699179108</v>
      </c>
      <c r="BH25" s="69">
        <f t="shared" si="15"/>
        <v>157.91215288553906</v>
      </c>
      <c r="BI25" s="69">
        <f t="shared" si="16"/>
        <v>18.552498220300727</v>
      </c>
      <c r="BJ25" s="66">
        <f>4274050.33/1000</f>
        <v>4274.05033</v>
      </c>
      <c r="BK25" s="66">
        <f t="shared" si="17"/>
        <v>1148.629489384574</v>
      </c>
      <c r="BL25" s="58">
        <f>BK25/BK55*100%</f>
        <v>1.6804914170240466</v>
      </c>
      <c r="BM25" s="68">
        <v>1</v>
      </c>
      <c r="BN25" s="73">
        <v>835.4</v>
      </c>
      <c r="BO25" s="71">
        <v>177.09</v>
      </c>
      <c r="BP25" s="58">
        <f>BO25/(BN25+BO25)</f>
        <v>0.17490543116475224</v>
      </c>
      <c r="BQ25" s="208">
        <v>1</v>
      </c>
      <c r="BR25" s="38">
        <v>1</v>
      </c>
      <c r="BS25" s="66">
        <f>137220/1000</f>
        <v>137.22</v>
      </c>
      <c r="BT25" s="58">
        <f t="shared" si="18"/>
        <v>0.0059563496197520575</v>
      </c>
      <c r="BU25" s="383">
        <f t="shared" si="19"/>
        <v>0.011912699239504115</v>
      </c>
      <c r="BV25" s="169">
        <v>0</v>
      </c>
      <c r="BW25" s="166">
        <f t="shared" si="20"/>
        <v>1</v>
      </c>
      <c r="BX25" s="393">
        <f>3+2+2</f>
        <v>7</v>
      </c>
      <c r="BY25" s="166">
        <f t="shared" si="21"/>
        <v>0.41666666666666663</v>
      </c>
      <c r="BZ25" s="394">
        <v>1</v>
      </c>
      <c r="CA25" s="381">
        <v>0</v>
      </c>
      <c r="CB25" s="394">
        <v>1</v>
      </c>
      <c r="CC25" s="28">
        <f t="shared" si="22"/>
        <v>0.75</v>
      </c>
      <c r="CD25" s="395">
        <v>0</v>
      </c>
      <c r="CE25" s="387">
        <f>1-CD25/1</f>
        <v>1</v>
      </c>
      <c r="CF25" s="73">
        <v>1</v>
      </c>
      <c r="CG25" s="28">
        <f t="shared" si="23"/>
        <v>0</v>
      </c>
      <c r="CH25" s="73"/>
      <c r="CI25" s="48"/>
      <c r="CJ25" s="36"/>
      <c r="CK25" s="28">
        <f t="shared" si="24"/>
        <v>1</v>
      </c>
      <c r="CL25" s="388">
        <f t="shared" si="25"/>
        <v>10</v>
      </c>
      <c r="CM25" s="28">
        <f t="shared" si="26"/>
        <v>0.5</v>
      </c>
      <c r="CN25" s="74"/>
      <c r="CO25" s="48">
        <f t="shared" si="27"/>
        <v>1</v>
      </c>
      <c r="CP25" s="66"/>
      <c r="CQ25" s="66">
        <f t="shared" si="28"/>
        <v>1</v>
      </c>
      <c r="CR25" s="394">
        <v>0</v>
      </c>
      <c r="CS25" s="38">
        <f t="shared" si="29"/>
        <v>1</v>
      </c>
      <c r="CT25" s="394">
        <v>0</v>
      </c>
      <c r="CU25" s="381">
        <f t="shared" si="30"/>
        <v>1</v>
      </c>
      <c r="CV25" s="393">
        <v>3</v>
      </c>
      <c r="CW25" s="165">
        <f t="shared" si="31"/>
        <v>0.4</v>
      </c>
      <c r="CX25" s="393">
        <f>3+3+2+2</f>
        <v>10</v>
      </c>
      <c r="CY25" s="165">
        <f t="shared" si="32"/>
        <v>0.09090909090909094</v>
      </c>
      <c r="CZ25" s="393">
        <v>4</v>
      </c>
      <c r="DA25" s="166">
        <f t="shared" si="33"/>
        <v>0.5</v>
      </c>
      <c r="DB25" s="388">
        <f t="shared" si="34"/>
        <v>17</v>
      </c>
      <c r="DC25" s="165">
        <f t="shared" si="35"/>
        <v>0.37037037037037035</v>
      </c>
      <c r="DD25" s="396">
        <v>1</v>
      </c>
      <c r="DE25" s="69">
        <v>0.5</v>
      </c>
      <c r="DF25" s="394">
        <v>14</v>
      </c>
      <c r="DG25" s="155">
        <f t="shared" si="36"/>
        <v>0</v>
      </c>
      <c r="DH25" s="73">
        <v>45</v>
      </c>
      <c r="DI25" s="38">
        <f t="shared" si="37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8"/>
        <v>62</v>
      </c>
      <c r="DO25" s="390">
        <f t="shared" si="39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0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1"/>
        <v>20.727964560599766</v>
      </c>
      <c r="EQ25" s="427">
        <f t="shared" si="42"/>
        <v>16</v>
      </c>
      <c r="ER25" s="51">
        <f t="shared" si="43"/>
        <v>1.552704073700215</v>
      </c>
      <c r="ES25" s="53" t="s">
        <v>117</v>
      </c>
    </row>
    <row r="26" spans="1:149" s="54" customFormat="1" ht="18.75">
      <c r="A26" s="55">
        <f t="shared" si="0"/>
        <v>17</v>
      </c>
      <c r="B26" s="268" t="s">
        <v>115</v>
      </c>
      <c r="C26" s="57">
        <v>0</v>
      </c>
      <c r="D26" s="158">
        <v>1</v>
      </c>
      <c r="E26" s="57">
        <v>0</v>
      </c>
      <c r="F26" s="158">
        <v>1</v>
      </c>
      <c r="G26" s="189">
        <v>4441.3</v>
      </c>
      <c r="H26" s="185">
        <v>2634.24895</v>
      </c>
      <c r="I26" s="58">
        <f t="shared" si="1"/>
        <v>0.40687434985252063</v>
      </c>
      <c r="J26" s="151">
        <v>0</v>
      </c>
      <c r="K26" s="189">
        <v>2634.24895</v>
      </c>
      <c r="L26" s="185">
        <v>9363.79463</v>
      </c>
      <c r="M26" s="58">
        <f t="shared" si="2"/>
        <v>0.2813228027834267</v>
      </c>
      <c r="N26" s="59">
        <v>0.3</v>
      </c>
      <c r="O26" s="189">
        <v>2634.24895</v>
      </c>
      <c r="P26" s="185">
        <v>2634.24895</v>
      </c>
      <c r="Q26" s="58">
        <f t="shared" si="3"/>
        <v>1</v>
      </c>
      <c r="R26" s="28">
        <v>1</v>
      </c>
      <c r="S26" s="189">
        <v>2634.24895</v>
      </c>
      <c r="T26" s="185">
        <v>1904.09823</v>
      </c>
      <c r="U26" s="61">
        <f t="shared" si="4"/>
        <v>1.383462737634077</v>
      </c>
      <c r="V26" s="155">
        <v>1</v>
      </c>
      <c r="W26" s="189">
        <v>876.088</v>
      </c>
      <c r="X26" s="185">
        <v>1183.3999</v>
      </c>
      <c r="Y26" s="61">
        <f t="shared" si="5"/>
        <v>1.350777433317201</v>
      </c>
      <c r="Z26" s="155">
        <v>0</v>
      </c>
      <c r="AA26" s="189">
        <v>1183.3999</v>
      </c>
      <c r="AB26" s="185">
        <v>2437.96573</v>
      </c>
      <c r="AC26" s="61">
        <f t="shared" si="6"/>
        <v>0.48540464922778054</v>
      </c>
      <c r="AD26" s="181">
        <f t="shared" si="7"/>
        <v>0.5145953507722194</v>
      </c>
      <c r="AE26" s="184">
        <v>6729.54568</v>
      </c>
      <c r="AF26" s="185">
        <v>9363.79463</v>
      </c>
      <c r="AG26" s="185">
        <v>135.7</v>
      </c>
      <c r="AH26" s="58">
        <f t="shared" si="8"/>
        <v>0.7292454130371223</v>
      </c>
      <c r="AI26" s="60">
        <v>0.3</v>
      </c>
      <c r="AJ26" s="195">
        <v>148.5</v>
      </c>
      <c r="AK26" s="196">
        <v>196.9</v>
      </c>
      <c r="AL26" s="196">
        <f t="shared" si="9"/>
        <v>-48.400000000000006</v>
      </c>
      <c r="AM26" s="147">
        <v>1</v>
      </c>
      <c r="AN26" s="66">
        <v>1904.6</v>
      </c>
      <c r="AO26" s="66">
        <v>2639.7</v>
      </c>
      <c r="AP26" s="58">
        <f t="shared" si="10"/>
        <v>0.7215213850058719</v>
      </c>
      <c r="AQ26" s="391">
        <v>1</v>
      </c>
      <c r="AR26" s="69">
        <f>AT26*100/AT59</f>
        <v>1.9302344602746584</v>
      </c>
      <c r="AS26" s="144">
        <v>7386.63</v>
      </c>
      <c r="AT26" s="66">
        <v>7386.6</v>
      </c>
      <c r="AU26" s="66">
        <v>3747.6</v>
      </c>
      <c r="AV26" s="26">
        <f t="shared" si="11"/>
        <v>0.5073490888267045</v>
      </c>
      <c r="AW26" s="35">
        <v>0.8</v>
      </c>
      <c r="AX26" s="66">
        <v>1882.3</v>
      </c>
      <c r="AY26" s="66">
        <f t="shared" si="12"/>
        <v>98.82915047779062</v>
      </c>
      <c r="AZ26" s="66">
        <f t="shared" si="13"/>
        <v>50.22681182623546</v>
      </c>
      <c r="BA26" s="35">
        <v>0</v>
      </c>
      <c r="BB26" s="35">
        <v>1</v>
      </c>
      <c r="BC26" s="392">
        <v>2693</v>
      </c>
      <c r="BD26" s="36">
        <f>AT26*1000/BC26</f>
        <v>2742.8889714073525</v>
      </c>
      <c r="BE26" s="58">
        <f>BD26/BD62*100%</f>
        <v>0.7083451569665927</v>
      </c>
      <c r="BF26" s="35">
        <v>0.7</v>
      </c>
      <c r="BG26" s="68">
        <f>BD26*100/BD59</f>
        <v>70.83451569665927</v>
      </c>
      <c r="BH26" s="69">
        <f t="shared" si="15"/>
        <v>78.78253596555707</v>
      </c>
      <c r="BI26" s="69">
        <f t="shared" si="16"/>
        <v>20.313705629112174</v>
      </c>
      <c r="BJ26" s="66">
        <f>1500492.18/1000</f>
        <v>1500.49218</v>
      </c>
      <c r="BK26" s="66">
        <f t="shared" si="17"/>
        <v>557.1823913850724</v>
      </c>
      <c r="BL26" s="58">
        <f>BK26/BK62*100%</f>
        <v>0.8151803824410171</v>
      </c>
      <c r="BM26" s="68">
        <v>0</v>
      </c>
      <c r="BN26" s="73">
        <v>505.4</v>
      </c>
      <c r="BO26" s="71">
        <v>151.51</v>
      </c>
      <c r="BP26" s="58">
        <f>BO26/(BN26+BO26)</f>
        <v>0.23064042258452452</v>
      </c>
      <c r="BQ26" s="208">
        <v>1</v>
      </c>
      <c r="BR26" s="38">
        <v>1</v>
      </c>
      <c r="BS26" s="66">
        <v>0</v>
      </c>
      <c r="BT26" s="58">
        <f t="shared" si="18"/>
        <v>0</v>
      </c>
      <c r="BU26" s="383">
        <f t="shared" si="19"/>
        <v>0</v>
      </c>
      <c r="BV26" s="169">
        <v>0.43044425773909556</v>
      </c>
      <c r="BW26" s="166">
        <f t="shared" si="20"/>
        <v>0.9956955574226091</v>
      </c>
      <c r="BX26" s="393">
        <f>2+2+3</f>
        <v>7</v>
      </c>
      <c r="BY26" s="166">
        <f t="shared" si="21"/>
        <v>0.41666666666666663</v>
      </c>
      <c r="BZ26" s="394">
        <v>1</v>
      </c>
      <c r="CA26" s="381">
        <v>0</v>
      </c>
      <c r="CB26" s="394">
        <v>2</v>
      </c>
      <c r="CC26" s="28">
        <f t="shared" si="22"/>
        <v>0.5</v>
      </c>
      <c r="CD26" s="395">
        <v>2</v>
      </c>
      <c r="CE26" s="387">
        <v>0</v>
      </c>
      <c r="CF26" s="73">
        <v>1</v>
      </c>
      <c r="CG26" s="28">
        <f t="shared" si="23"/>
        <v>0</v>
      </c>
      <c r="CH26" s="73"/>
      <c r="CI26" s="48"/>
      <c r="CJ26" s="36">
        <v>1</v>
      </c>
      <c r="CK26" s="28">
        <f t="shared" si="24"/>
        <v>0</v>
      </c>
      <c r="CL26" s="388">
        <f t="shared" si="25"/>
        <v>14</v>
      </c>
      <c r="CM26" s="28">
        <f t="shared" si="26"/>
        <v>0.30000000000000004</v>
      </c>
      <c r="CN26" s="74"/>
      <c r="CO26" s="48">
        <f t="shared" si="27"/>
        <v>1</v>
      </c>
      <c r="CP26" s="66"/>
      <c r="CQ26" s="66">
        <f t="shared" si="28"/>
        <v>1</v>
      </c>
      <c r="CR26" s="394">
        <v>0</v>
      </c>
      <c r="CS26" s="38">
        <f t="shared" si="29"/>
        <v>1</v>
      </c>
      <c r="CT26" s="394">
        <v>0</v>
      </c>
      <c r="CU26" s="381">
        <f t="shared" si="30"/>
        <v>1</v>
      </c>
      <c r="CV26" s="393">
        <v>3</v>
      </c>
      <c r="CW26" s="165">
        <f t="shared" si="31"/>
        <v>0.4</v>
      </c>
      <c r="CX26" s="393">
        <f>4+3+1+1</f>
        <v>9</v>
      </c>
      <c r="CY26" s="165">
        <f t="shared" si="32"/>
        <v>0.18181818181818177</v>
      </c>
      <c r="CZ26" s="393">
        <v>3</v>
      </c>
      <c r="DA26" s="166">
        <f t="shared" si="33"/>
        <v>0.625</v>
      </c>
      <c r="DB26" s="388">
        <f t="shared" si="34"/>
        <v>15</v>
      </c>
      <c r="DC26" s="165">
        <f t="shared" si="35"/>
        <v>0.4444444444444444</v>
      </c>
      <c r="DD26" s="396">
        <v>0</v>
      </c>
      <c r="DE26" s="69">
        <v>1</v>
      </c>
      <c r="DF26" s="394">
        <v>7</v>
      </c>
      <c r="DG26" s="155">
        <f t="shared" si="36"/>
        <v>0.5</v>
      </c>
      <c r="DH26" s="73">
        <v>16</v>
      </c>
      <c r="DI26" s="38">
        <f t="shared" si="37"/>
        <v>0.6444444444444444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8"/>
        <v>25</v>
      </c>
      <c r="DO26" s="390">
        <f t="shared" si="39"/>
        <v>0.5967741935483871</v>
      </c>
      <c r="DP26" s="175">
        <v>661</v>
      </c>
      <c r="DQ26" s="166">
        <f>1-DP26/(1650)*100/100</f>
        <v>0.5993939393939394</v>
      </c>
      <c r="DR26" s="66">
        <v>1</v>
      </c>
      <c r="DS26" s="28">
        <f t="shared" si="40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1</v>
      </c>
      <c r="EG26" s="69">
        <v>1</v>
      </c>
      <c r="EH26" s="49"/>
      <c r="EI26" s="49">
        <v>1</v>
      </c>
      <c r="EJ26" s="172">
        <v>1</v>
      </c>
      <c r="EK26" s="75"/>
      <c r="EL26" s="49"/>
      <c r="EM26" s="158"/>
      <c r="EN26" s="176"/>
      <c r="EO26" s="174"/>
      <c r="EP26" s="377">
        <f t="shared" si="41"/>
        <v>20.3009034855816</v>
      </c>
      <c r="EQ26" s="24">
        <f t="shared" si="42"/>
        <v>17</v>
      </c>
      <c r="ER26" s="36">
        <f t="shared" si="43"/>
        <v>1.552704073700215</v>
      </c>
      <c r="ES26" s="77" t="s">
        <v>116</v>
      </c>
    </row>
    <row r="27" spans="1:149" s="54" customFormat="1" ht="18.75">
      <c r="A27" s="55">
        <f t="shared" si="0"/>
        <v>18</v>
      </c>
      <c r="B27" s="56" t="s">
        <v>139</v>
      </c>
      <c r="C27" s="57">
        <v>0</v>
      </c>
      <c r="D27" s="158">
        <v>1</v>
      </c>
      <c r="E27" s="57">
        <v>0</v>
      </c>
      <c r="F27" s="158">
        <v>1</v>
      </c>
      <c r="G27" s="189">
        <v>6098.9</v>
      </c>
      <c r="H27" s="185">
        <v>7114.17526</v>
      </c>
      <c r="I27" s="58">
        <f t="shared" si="1"/>
        <v>-0.16646858613848406</v>
      </c>
      <c r="J27" s="151">
        <v>0.2</v>
      </c>
      <c r="K27" s="189">
        <v>7114.17526</v>
      </c>
      <c r="L27" s="185">
        <v>13492.56615</v>
      </c>
      <c r="M27" s="58">
        <f t="shared" si="2"/>
        <v>0.5272662872955416</v>
      </c>
      <c r="N27" s="59">
        <v>0.8</v>
      </c>
      <c r="O27" s="189">
        <v>7114.17526</v>
      </c>
      <c r="P27" s="185">
        <v>7114.17526</v>
      </c>
      <c r="Q27" s="58">
        <f t="shared" si="3"/>
        <v>1</v>
      </c>
      <c r="R27" s="28">
        <v>1</v>
      </c>
      <c r="S27" s="189">
        <v>7114.17526</v>
      </c>
      <c r="T27" s="185">
        <v>4355.52677</v>
      </c>
      <c r="U27" s="61">
        <f t="shared" si="4"/>
        <v>1.6333673596041287</v>
      </c>
      <c r="V27" s="155">
        <v>1</v>
      </c>
      <c r="W27" s="189">
        <v>903.443</v>
      </c>
      <c r="X27" s="185">
        <v>1559.8717</v>
      </c>
      <c r="Y27" s="61">
        <f t="shared" si="5"/>
        <v>1.7265856285343957</v>
      </c>
      <c r="Z27" s="155">
        <v>0</v>
      </c>
      <c r="AA27" s="189">
        <v>1559.8717</v>
      </c>
      <c r="AB27" s="185">
        <v>4978.73313</v>
      </c>
      <c r="AC27" s="61">
        <f t="shared" si="6"/>
        <v>0.3133069516421339</v>
      </c>
      <c r="AD27" s="181">
        <f t="shared" si="7"/>
        <v>0.6866930483578662</v>
      </c>
      <c r="AE27" s="184">
        <v>6378.39089</v>
      </c>
      <c r="AF27" s="185">
        <v>13492.56615</v>
      </c>
      <c r="AG27" s="185">
        <v>253</v>
      </c>
      <c r="AH27" s="58">
        <f t="shared" si="8"/>
        <v>0.48176736440868945</v>
      </c>
      <c r="AI27" s="60">
        <v>0.8</v>
      </c>
      <c r="AJ27" s="195">
        <v>-945</v>
      </c>
      <c r="AK27" s="196">
        <v>-106.4</v>
      </c>
      <c r="AL27" s="196">
        <f t="shared" si="9"/>
        <v>-838.6</v>
      </c>
      <c r="AM27" s="147">
        <v>1</v>
      </c>
      <c r="AN27" s="66">
        <v>2225.2</v>
      </c>
      <c r="AO27" s="66">
        <v>3240.2</v>
      </c>
      <c r="AP27" s="58">
        <f t="shared" si="10"/>
        <v>0.6867477316215048</v>
      </c>
      <c r="AQ27" s="391">
        <v>1</v>
      </c>
      <c r="AR27" s="69">
        <f>AT27*100/AT61</f>
        <v>3.232814769771733</v>
      </c>
      <c r="AS27" s="144">
        <v>12371.26</v>
      </c>
      <c r="AT27" s="66">
        <v>12371.3</v>
      </c>
      <c r="AU27" s="66">
        <v>5727</v>
      </c>
      <c r="AV27" s="26">
        <f t="shared" si="11"/>
        <v>0.4629277858520474</v>
      </c>
      <c r="AW27" s="35">
        <v>1</v>
      </c>
      <c r="AX27" s="66">
        <v>2147.56</v>
      </c>
      <c r="AY27" s="66">
        <f t="shared" si="12"/>
        <v>96.51087542692792</v>
      </c>
      <c r="AZ27" s="66">
        <f t="shared" si="13"/>
        <v>37.498865025318665</v>
      </c>
      <c r="BA27" s="35">
        <v>0</v>
      </c>
      <c r="BB27" s="35">
        <v>1</v>
      </c>
      <c r="BC27" s="392">
        <v>5799</v>
      </c>
      <c r="BD27" s="36">
        <f>AS27*1000/BC27</f>
        <v>2133.343679944818</v>
      </c>
      <c r="BE27" s="58">
        <f>BD27/BD65*100%</f>
        <v>0.5509314010106818</v>
      </c>
      <c r="BF27" s="35">
        <v>0</v>
      </c>
      <c r="BG27" s="68">
        <f>BD27*100/BD61</f>
        <v>55.09314010106818</v>
      </c>
      <c r="BH27" s="69">
        <f t="shared" si="15"/>
        <v>81.03914973934927</v>
      </c>
      <c r="BI27" s="69">
        <f t="shared" si="16"/>
        <v>14.576343310727248</v>
      </c>
      <c r="BJ27" s="66">
        <f>1803283.16/1000</f>
        <v>1803.28316</v>
      </c>
      <c r="BK27" s="66">
        <f t="shared" si="17"/>
        <v>310.96450422486635</v>
      </c>
      <c r="BL27" s="58">
        <f>BK27/BK65*100%</f>
        <v>0.45495365144161154</v>
      </c>
      <c r="BM27" s="68">
        <v>0</v>
      </c>
      <c r="BN27" s="73">
        <v>648</v>
      </c>
      <c r="BO27" s="73">
        <v>206.59</v>
      </c>
      <c r="BP27" s="58">
        <f>BO27/(BN27+BO27)</f>
        <v>0.24174165389250984</v>
      </c>
      <c r="BQ27" s="208">
        <v>1</v>
      </c>
      <c r="BR27" s="38">
        <v>1</v>
      </c>
      <c r="BS27" s="66">
        <f>1335368.06/1000</f>
        <v>1335.36806</v>
      </c>
      <c r="BT27" s="58">
        <f t="shared" si="18"/>
        <v>0.10794080331088891</v>
      </c>
      <c r="BU27" s="383">
        <f t="shared" si="19"/>
        <v>0.21588160662177783</v>
      </c>
      <c r="BV27" s="169">
        <v>0</v>
      </c>
      <c r="BW27" s="166">
        <f t="shared" si="20"/>
        <v>1</v>
      </c>
      <c r="BX27" s="393">
        <f>3+2+1</f>
        <v>6</v>
      </c>
      <c r="BY27" s="166">
        <f t="shared" si="21"/>
        <v>0.5</v>
      </c>
      <c r="BZ27" s="394">
        <v>1</v>
      </c>
      <c r="CA27" s="381">
        <v>0</v>
      </c>
      <c r="CB27" s="394">
        <v>2</v>
      </c>
      <c r="CC27" s="28">
        <f t="shared" si="22"/>
        <v>0.5</v>
      </c>
      <c r="CD27" s="395">
        <v>2</v>
      </c>
      <c r="CE27" s="387">
        <v>0</v>
      </c>
      <c r="CF27" s="73"/>
      <c r="CG27" s="28">
        <f t="shared" si="23"/>
        <v>1</v>
      </c>
      <c r="CH27" s="73"/>
      <c r="CI27" s="48"/>
      <c r="CJ27" s="36"/>
      <c r="CK27" s="28">
        <f t="shared" si="24"/>
        <v>1</v>
      </c>
      <c r="CL27" s="388">
        <f t="shared" si="25"/>
        <v>11</v>
      </c>
      <c r="CM27" s="28">
        <f t="shared" si="26"/>
        <v>0.44999999999999996</v>
      </c>
      <c r="CN27" s="74"/>
      <c r="CO27" s="48">
        <f t="shared" si="27"/>
        <v>1</v>
      </c>
      <c r="CP27" s="66"/>
      <c r="CQ27" s="66">
        <f t="shared" si="28"/>
        <v>1</v>
      </c>
      <c r="CR27" s="394">
        <v>1</v>
      </c>
      <c r="CS27" s="38">
        <f t="shared" si="29"/>
        <v>0.6666666666666667</v>
      </c>
      <c r="CT27" s="394">
        <v>0</v>
      </c>
      <c r="CU27" s="381">
        <f t="shared" si="30"/>
        <v>1</v>
      </c>
      <c r="CV27" s="393">
        <v>2</v>
      </c>
      <c r="CW27" s="165">
        <f t="shared" si="31"/>
        <v>0.6</v>
      </c>
      <c r="CX27" s="393">
        <f>1+2+1+1</f>
        <v>5</v>
      </c>
      <c r="CY27" s="165">
        <f t="shared" si="32"/>
        <v>0.5454545454545454</v>
      </c>
      <c r="CZ27" s="393">
        <v>0</v>
      </c>
      <c r="DA27" s="166">
        <f t="shared" si="33"/>
        <v>1</v>
      </c>
      <c r="DB27" s="388">
        <f t="shared" si="34"/>
        <v>8</v>
      </c>
      <c r="DC27" s="165">
        <f t="shared" si="35"/>
        <v>0.7037037037037037</v>
      </c>
      <c r="DD27" s="396">
        <v>0</v>
      </c>
      <c r="DE27" s="69">
        <v>1</v>
      </c>
      <c r="DF27" s="394">
        <v>4</v>
      </c>
      <c r="DG27" s="155">
        <f t="shared" si="36"/>
        <v>0.7142857142857143</v>
      </c>
      <c r="DH27" s="73">
        <v>4</v>
      </c>
      <c r="DI27" s="38">
        <f t="shared" si="37"/>
        <v>0.9111111111111111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8"/>
        <v>10</v>
      </c>
      <c r="DO27" s="390">
        <f t="shared" si="39"/>
        <v>0.8387096774193549</v>
      </c>
      <c r="DP27" s="175">
        <v>278</v>
      </c>
      <c r="DQ27" s="166">
        <f>1-DP27/(1388)*100/100</f>
        <v>0.7997118155619597</v>
      </c>
      <c r="DR27" s="66">
        <v>1</v>
      </c>
      <c r="DS27" s="28">
        <f t="shared" si="40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0</v>
      </c>
      <c r="EG27" s="69">
        <v>0</v>
      </c>
      <c r="EH27" s="49"/>
      <c r="EI27" s="49">
        <v>0</v>
      </c>
      <c r="EJ27" s="172">
        <v>0</v>
      </c>
      <c r="EK27" s="75"/>
      <c r="EL27" s="49"/>
      <c r="EM27" s="158"/>
      <c r="EN27" s="176"/>
      <c r="EO27" s="174"/>
      <c r="EP27" s="377">
        <f t="shared" si="41"/>
        <v>20.244699851664663</v>
      </c>
      <c r="EQ27" s="24">
        <f t="shared" si="42"/>
        <v>18</v>
      </c>
      <c r="ER27" s="36">
        <f t="shared" si="43"/>
        <v>1.552704073700215</v>
      </c>
      <c r="ES27" s="77" t="s">
        <v>116</v>
      </c>
    </row>
    <row r="28" spans="1:150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aca="true" t="shared" si="44" ref="I28:I34">(G28-H28)/G28*100%</f>
        <v>-0.9799430699823944</v>
      </c>
      <c r="J28" s="151">
        <v>0</v>
      </c>
      <c r="K28" s="189">
        <v>8996.86131</v>
      </c>
      <c r="L28" s="185">
        <v>24406.39571</v>
      </c>
      <c r="M28" s="58">
        <f aca="true" t="shared" si="45" ref="M28:M34">K28/L28*100%</f>
        <v>0.36862719989063064</v>
      </c>
      <c r="N28" s="59">
        <v>0.5</v>
      </c>
      <c r="O28" s="189">
        <v>8996.86131</v>
      </c>
      <c r="P28" s="185">
        <v>8996.86131</v>
      </c>
      <c r="Q28" s="58">
        <f aca="true" t="shared" si="46" ref="Q28:Q34">O28/P28*100%</f>
        <v>1</v>
      </c>
      <c r="R28" s="28">
        <v>1</v>
      </c>
      <c r="S28" s="189">
        <v>8996.86131</v>
      </c>
      <c r="T28" s="185">
        <v>6280.87107</v>
      </c>
      <c r="U28" s="61">
        <f aca="true" t="shared" si="47" ref="U28:U34">S28/T28*100%</f>
        <v>1.432422542945146</v>
      </c>
      <c r="V28" s="155">
        <v>1</v>
      </c>
      <c r="W28" s="189">
        <v>2512.5522</v>
      </c>
      <c r="X28" s="185">
        <v>2219.3494</v>
      </c>
      <c r="Y28" s="61">
        <f aca="true" t="shared" si="48" ref="Y28:Y34">X28/W28*100%</f>
        <v>0.883304792632766</v>
      </c>
      <c r="Z28" s="155">
        <v>0.1</v>
      </c>
      <c r="AA28" s="189">
        <v>2219.3494</v>
      </c>
      <c r="AB28" s="185">
        <v>7156.39471</v>
      </c>
      <c r="AC28" s="61">
        <f aca="true" t="shared" si="49" ref="AC28:AC34">AA28/AB28*100%</f>
        <v>0.31012115596402035</v>
      </c>
      <c r="AD28" s="181">
        <f aca="true" t="shared" si="50" ref="AD28:AD33">1-AC28/100%</f>
        <v>0.6898788440359797</v>
      </c>
      <c r="AE28" s="184">
        <v>15409.5344</v>
      </c>
      <c r="AF28" s="185">
        <v>24406.39571</v>
      </c>
      <c r="AG28" s="185">
        <v>245.64</v>
      </c>
      <c r="AH28" s="58">
        <f aca="true" t="shared" si="51" ref="AH28:AH34">AE28/(AF28-AG28)*100%</f>
        <v>0.6377919045645613</v>
      </c>
      <c r="AI28" s="60">
        <v>0.5</v>
      </c>
      <c r="AJ28" s="195">
        <v>-260.2</v>
      </c>
      <c r="AK28" s="196">
        <v>-216.6</v>
      </c>
      <c r="AL28" s="196">
        <f aca="true" t="shared" si="52" ref="AL28:AL34">AJ28-AK28</f>
        <v>-43.599999999999994</v>
      </c>
      <c r="AM28" s="147">
        <v>1</v>
      </c>
      <c r="AN28" s="66">
        <v>3088.2</v>
      </c>
      <c r="AO28" s="66">
        <v>3445.2</v>
      </c>
      <c r="AP28" s="58">
        <f aca="true" t="shared" si="53" ref="AP28:AP34">AN28*100%/AO28</f>
        <v>0.8963775687913619</v>
      </c>
      <c r="AQ28" s="391">
        <v>1</v>
      </c>
      <c r="AR28" s="69">
        <f>AT28*100/AT40</f>
        <v>6.159837921557734</v>
      </c>
      <c r="AS28" s="144">
        <v>23572.44</v>
      </c>
      <c r="AT28" s="66">
        <v>23572.4</v>
      </c>
      <c r="AU28" s="66">
        <v>6348.7</v>
      </c>
      <c r="AV28" s="26">
        <f aca="true" t="shared" si="54" ref="AV28:AV34">AU28*100%/AS28</f>
        <v>0.2693272312921361</v>
      </c>
      <c r="AW28" s="35">
        <v>1</v>
      </c>
      <c r="AX28" s="66">
        <v>3082.51</v>
      </c>
      <c r="AY28" s="66">
        <f aca="true" t="shared" si="55" ref="AY28:AY34">AX28*100/AN28</f>
        <v>99.81575027524124</v>
      </c>
      <c r="AZ28" s="66">
        <f aca="true" t="shared" si="56" ref="AZ28:AZ34">AX28*100/AU28</f>
        <v>48.553404634019564</v>
      </c>
      <c r="BA28" s="35">
        <v>0</v>
      </c>
      <c r="BB28" s="35">
        <v>1</v>
      </c>
      <c r="BC28" s="392">
        <v>4701</v>
      </c>
      <c r="BD28" s="36">
        <f>AT28*1000/BC28</f>
        <v>5014.33737502659</v>
      </c>
      <c r="BE28" s="58">
        <f>BD28/BD40*100%</f>
        <v>1.294941804798691</v>
      </c>
      <c r="BF28" s="35">
        <v>1</v>
      </c>
      <c r="BG28" s="68">
        <f>BD28*100/BD40</f>
        <v>129.4941804798691</v>
      </c>
      <c r="BH28" s="69">
        <f aca="true" t="shared" si="57" ref="BH28:BH34">BJ28*100/AN28</f>
        <v>117.30002266692573</v>
      </c>
      <c r="BI28" s="69">
        <f aca="true" t="shared" si="58" ref="BI28:BI34">BJ28*100/AT28</f>
        <v>15.367375829359759</v>
      </c>
      <c r="BJ28" s="66">
        <f>3622459.3/1000</f>
        <v>3622.4593</v>
      </c>
      <c r="BK28" s="66">
        <f aca="true" t="shared" si="59" ref="BK28:BK34">BJ28*1000/BC28</f>
        <v>770.5720697723888</v>
      </c>
      <c r="BL28" s="58">
        <f>BK28/BK40*100%</f>
        <v>1.1273781157619172</v>
      </c>
      <c r="BM28" s="68">
        <v>1</v>
      </c>
      <c r="BN28" s="73">
        <v>884.6</v>
      </c>
      <c r="BO28" s="73">
        <v>358.02</v>
      </c>
      <c r="BP28" s="58">
        <f aca="true" t="shared" si="60" ref="BP28:BP34">BO28/(BN28+BO28)</f>
        <v>0.2881170430220019</v>
      </c>
      <c r="BQ28" s="208">
        <v>1</v>
      </c>
      <c r="BR28" s="38">
        <v>1</v>
      </c>
      <c r="BS28" s="66">
        <v>0</v>
      </c>
      <c r="BT28" s="58">
        <f aca="true" t="shared" si="61" ref="BT28:BT34">BS28*100%/AT28</f>
        <v>0</v>
      </c>
      <c r="BU28" s="383">
        <f aca="true" t="shared" si="62" ref="BU28:BU34">BT28/50%</f>
        <v>0</v>
      </c>
      <c r="BV28" s="169">
        <v>3.9168938933461397</v>
      </c>
      <c r="BW28" s="166">
        <f aca="true" t="shared" si="63" ref="BW28:BW34">1-(BV28/100)</f>
        <v>0.9608310610665386</v>
      </c>
      <c r="BX28" s="393">
        <f>3+2+2</f>
        <v>7</v>
      </c>
      <c r="BY28" s="166">
        <f aca="true" t="shared" si="64" ref="BY28:BY33">(1-BX28/12)</f>
        <v>0.41666666666666663</v>
      </c>
      <c r="BZ28" s="394">
        <v>0</v>
      </c>
      <c r="CA28" s="381">
        <v>1</v>
      </c>
      <c r="CB28" s="394">
        <v>0</v>
      </c>
      <c r="CC28" s="28">
        <f aca="true" t="shared" si="65" ref="CC28:CC33">1-CB28/4</f>
        <v>1</v>
      </c>
      <c r="CD28" s="395">
        <v>0</v>
      </c>
      <c r="CE28" s="387">
        <f>1-CD28/1</f>
        <v>1</v>
      </c>
      <c r="CF28" s="73"/>
      <c r="CG28" s="28">
        <f aca="true" t="shared" si="66" ref="CG28:CG33">1-CF28/1</f>
        <v>1</v>
      </c>
      <c r="CH28" s="73"/>
      <c r="CI28" s="48"/>
      <c r="CJ28" s="36"/>
      <c r="CK28" s="28">
        <f aca="true" t="shared" si="67" ref="CK28:CK33">1-CJ28/1</f>
        <v>1</v>
      </c>
      <c r="CL28" s="388">
        <f aca="true" t="shared" si="68" ref="CL28:CL33">BX28+BZ28+CB28+CD28+CF28+CH28+CJ28</f>
        <v>7</v>
      </c>
      <c r="CM28" s="28">
        <f aca="true" t="shared" si="69" ref="CM28:CM33">1-CL28/20</f>
        <v>0.65</v>
      </c>
      <c r="CN28" s="74"/>
      <c r="CO28" s="48">
        <f aca="true" t="shared" si="70" ref="CO28:CO33">1-CN28/6</f>
        <v>1</v>
      </c>
      <c r="CP28" s="66"/>
      <c r="CQ28" s="66">
        <f aca="true" t="shared" si="71" ref="CQ28:CQ33">1-CP28/11</f>
        <v>1</v>
      </c>
      <c r="CR28" s="394">
        <v>0</v>
      </c>
      <c r="CS28" s="38">
        <f aca="true" t="shared" si="72" ref="CS28:CS33">1-CR28/3</f>
        <v>1</v>
      </c>
      <c r="CT28" s="394">
        <v>0</v>
      </c>
      <c r="CU28" s="381">
        <f aca="true" t="shared" si="73" ref="CU28:CU33">1-CT28/2</f>
        <v>1</v>
      </c>
      <c r="CV28" s="393"/>
      <c r="CW28" s="165">
        <f aca="true" t="shared" si="74" ref="CW28:CW33">1-CV28/5</f>
        <v>1</v>
      </c>
      <c r="CX28" s="393">
        <f>2+4+2+1</f>
        <v>9</v>
      </c>
      <c r="CY28" s="165">
        <f aca="true" t="shared" si="75" ref="CY28:CY33">1-CX28/11</f>
        <v>0.18181818181818177</v>
      </c>
      <c r="CZ28" s="393">
        <v>2</v>
      </c>
      <c r="DA28" s="166">
        <f aca="true" t="shared" si="76" ref="DA28:DA33">1-CZ28/8</f>
        <v>0.75</v>
      </c>
      <c r="DB28" s="388">
        <f aca="true" t="shared" si="77" ref="DB28:DB33">CR28+CT28+CX28+CZ28+CV28</f>
        <v>11</v>
      </c>
      <c r="DC28" s="165">
        <f aca="true" t="shared" si="78" ref="DC28:DC33">1-DB28/27</f>
        <v>0.5925925925925926</v>
      </c>
      <c r="DD28" s="396">
        <v>0</v>
      </c>
      <c r="DE28" s="69">
        <v>1</v>
      </c>
      <c r="DF28" s="394">
        <v>5</v>
      </c>
      <c r="DG28" s="155">
        <f aca="true" t="shared" si="79" ref="DG28:DG33">1-DF28/14</f>
        <v>0.6428571428571428</v>
      </c>
      <c r="DH28" s="73">
        <v>32</v>
      </c>
      <c r="DI28" s="38">
        <f aca="true" t="shared" si="80" ref="DI28:DI33">1-DH28/45</f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aca="true" t="shared" si="81" ref="DN28:DN33">DD28+DF28+DH28+DJ28+DL28</f>
        <v>40</v>
      </c>
      <c r="DO28" s="390">
        <f aca="true" t="shared" si="82" ref="DO28:DO33">1-DN28/62</f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aca="true" t="shared" si="83" ref="DS28:DS33">1-DR28/4</f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aca="true" t="shared" si="84" ref="EP28:EP33">D28+F28+J28+N28+R28+V28+Z28+AD28+AI28+AM28+AQ28+AW28+BA28+BB28+BF28+BM28+BR28+BU28+BW28+CM28+DC28+DO28+DQ28+DS28+DU28+DX28+EA28+ED28+EG28+EJ28</f>
        <v>22.89823777907702</v>
      </c>
      <c r="EQ28" s="24">
        <f t="shared" si="42"/>
        <v>19</v>
      </c>
      <c r="ER28" s="36">
        <f t="shared" si="43"/>
        <v>1.552704073700215</v>
      </c>
      <c r="ES28" s="77" t="s">
        <v>116</v>
      </c>
      <c r="ET28" s="80"/>
    </row>
    <row r="29" spans="1:149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44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45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46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7"/>
        <v>1.7389451467765216</v>
      </c>
      <c r="V29" s="155">
        <v>1</v>
      </c>
      <c r="W29" s="189">
        <v>1689.0246</v>
      </c>
      <c r="X29" s="185">
        <v>2458.5081</v>
      </c>
      <c r="Y29" s="61">
        <f t="shared" si="48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49"/>
        <v>0.5315866170347813</v>
      </c>
      <c r="AD29" s="181">
        <f t="shared" si="50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51"/>
        <v>0.4230108393092315</v>
      </c>
      <c r="AI29" s="60">
        <v>0.8</v>
      </c>
      <c r="AJ29" s="195">
        <v>1235.9</v>
      </c>
      <c r="AK29" s="196">
        <v>1119.6</v>
      </c>
      <c r="AL29" s="196">
        <f t="shared" si="52"/>
        <v>116.30000000000018</v>
      </c>
      <c r="AM29" s="147">
        <v>0</v>
      </c>
      <c r="AN29" s="66">
        <v>2502</v>
      </c>
      <c r="AO29" s="66">
        <v>2638.2</v>
      </c>
      <c r="AP29" s="58">
        <f t="shared" si="53"/>
        <v>0.9483738912895157</v>
      </c>
      <c r="AQ29" s="391">
        <v>1</v>
      </c>
      <c r="AR29" s="69">
        <f>AT29*100/AT55</f>
        <v>3.2400009511891037</v>
      </c>
      <c r="AS29" s="144">
        <v>12398.81</v>
      </c>
      <c r="AT29" s="66">
        <v>12398.8</v>
      </c>
      <c r="AU29" s="66">
        <v>4561.4</v>
      </c>
      <c r="AV29" s="26">
        <f t="shared" si="54"/>
        <v>0.36789014429610584</v>
      </c>
      <c r="AW29" s="35">
        <v>1</v>
      </c>
      <c r="AX29" s="66">
        <v>2247.42</v>
      </c>
      <c r="AY29" s="66">
        <f t="shared" si="55"/>
        <v>89.82494004796163</v>
      </c>
      <c r="AZ29" s="66">
        <f t="shared" si="56"/>
        <v>49.270399438768806</v>
      </c>
      <c r="BA29" s="35">
        <v>0</v>
      </c>
      <c r="BB29" s="35">
        <v>1</v>
      </c>
      <c r="BC29" s="392">
        <v>3082</v>
      </c>
      <c r="BD29" s="36">
        <f>AS29*1000/BC29</f>
        <v>4022.975340687865</v>
      </c>
      <c r="BE29" s="58">
        <f>BD29/BD42*100%</f>
        <v>1.0389246990592347</v>
      </c>
      <c r="BF29" s="35">
        <v>1</v>
      </c>
      <c r="BG29" s="68">
        <f>BD29*100/BD55</f>
        <v>103.89246990592346</v>
      </c>
      <c r="BH29" s="69">
        <f t="shared" si="57"/>
        <v>37.15310711430855</v>
      </c>
      <c r="BI29" s="69">
        <f t="shared" si="58"/>
        <v>7.497263767461367</v>
      </c>
      <c r="BJ29" s="66">
        <f>929570.74/1000</f>
        <v>929.57074</v>
      </c>
      <c r="BK29" s="66">
        <f t="shared" si="59"/>
        <v>301.6128293316028</v>
      </c>
      <c r="BL29" s="58">
        <f>BK29/BK42*100%</f>
        <v>0.4412717726998871</v>
      </c>
      <c r="BM29" s="68">
        <v>0</v>
      </c>
      <c r="BN29" s="73">
        <v>143.2</v>
      </c>
      <c r="BO29" s="71">
        <v>65.51</v>
      </c>
      <c r="BP29" s="58">
        <f t="shared" si="60"/>
        <v>0.31388050404868006</v>
      </c>
      <c r="BQ29" s="208">
        <v>1</v>
      </c>
      <c r="BR29" s="38">
        <v>1</v>
      </c>
      <c r="BS29" s="66">
        <f>72609.63/1000</f>
        <v>72.60963000000001</v>
      </c>
      <c r="BT29" s="58">
        <f t="shared" si="61"/>
        <v>0.005856182049875796</v>
      </c>
      <c r="BU29" s="383">
        <f t="shared" si="62"/>
        <v>0.011712364099751592</v>
      </c>
      <c r="BV29" s="169">
        <v>0</v>
      </c>
      <c r="BW29" s="166">
        <f t="shared" si="63"/>
        <v>1</v>
      </c>
      <c r="BX29" s="393">
        <f>3+1+1</f>
        <v>5</v>
      </c>
      <c r="BY29" s="166">
        <f t="shared" si="64"/>
        <v>0.5833333333333333</v>
      </c>
      <c r="BZ29" s="394">
        <v>1</v>
      </c>
      <c r="CA29" s="381">
        <v>0</v>
      </c>
      <c r="CB29" s="394">
        <v>4</v>
      </c>
      <c r="CC29" s="28">
        <f t="shared" si="65"/>
        <v>0</v>
      </c>
      <c r="CD29" s="395">
        <v>1</v>
      </c>
      <c r="CE29" s="387">
        <v>0.5</v>
      </c>
      <c r="CF29" s="73">
        <v>1</v>
      </c>
      <c r="CG29" s="28">
        <f t="shared" si="66"/>
        <v>0</v>
      </c>
      <c r="CH29" s="73"/>
      <c r="CI29" s="48"/>
      <c r="CJ29" s="36"/>
      <c r="CK29" s="28">
        <f t="shared" si="67"/>
        <v>1</v>
      </c>
      <c r="CL29" s="388">
        <f t="shared" si="68"/>
        <v>12</v>
      </c>
      <c r="CM29" s="28">
        <f t="shared" si="69"/>
        <v>0.4</v>
      </c>
      <c r="CN29" s="74"/>
      <c r="CO29" s="48">
        <f t="shared" si="70"/>
        <v>1</v>
      </c>
      <c r="CP29" s="66"/>
      <c r="CQ29" s="66">
        <f t="shared" si="71"/>
        <v>1</v>
      </c>
      <c r="CR29" s="394">
        <v>1</v>
      </c>
      <c r="CS29" s="38">
        <f t="shared" si="72"/>
        <v>0.6666666666666667</v>
      </c>
      <c r="CT29" s="394">
        <v>0</v>
      </c>
      <c r="CU29" s="381">
        <f t="shared" si="73"/>
        <v>1</v>
      </c>
      <c r="CV29" s="393">
        <v>2</v>
      </c>
      <c r="CW29" s="165">
        <f t="shared" si="74"/>
        <v>0.6</v>
      </c>
      <c r="CX29" s="393">
        <f>2+3+1+1</f>
        <v>7</v>
      </c>
      <c r="CY29" s="165">
        <f t="shared" si="75"/>
        <v>0.36363636363636365</v>
      </c>
      <c r="CZ29" s="393">
        <v>0</v>
      </c>
      <c r="DA29" s="166">
        <f t="shared" si="76"/>
        <v>1</v>
      </c>
      <c r="DB29" s="388">
        <f t="shared" si="77"/>
        <v>10</v>
      </c>
      <c r="DC29" s="165">
        <f t="shared" si="78"/>
        <v>0.6296296296296297</v>
      </c>
      <c r="DD29" s="396">
        <v>0</v>
      </c>
      <c r="DE29" s="69">
        <v>1</v>
      </c>
      <c r="DF29" s="394">
        <v>7</v>
      </c>
      <c r="DG29" s="155">
        <f t="shared" si="79"/>
        <v>0.5</v>
      </c>
      <c r="DH29" s="73">
        <v>4</v>
      </c>
      <c r="DI29" s="38">
        <f t="shared" si="80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81"/>
        <v>14</v>
      </c>
      <c r="DO29" s="390">
        <f t="shared" si="82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83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84"/>
        <v>21.28406506910028</v>
      </c>
      <c r="EQ29" s="24">
        <f t="shared" si="42"/>
        <v>20</v>
      </c>
      <c r="ER29" s="36">
        <f>ER30</f>
        <v>1.552704073700215</v>
      </c>
      <c r="ES29" s="77" t="s">
        <v>116</v>
      </c>
    </row>
    <row r="30" spans="1:149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>(G30-H30)/G30*100%</f>
        <v>-0.6797733418913137</v>
      </c>
      <c r="J30" s="151">
        <v>0</v>
      </c>
      <c r="K30" s="189">
        <v>4710.75636</v>
      </c>
      <c r="L30" s="185">
        <v>12891.62184</v>
      </c>
      <c r="M30" s="58">
        <f>K30/L30*100%</f>
        <v>0.36541223582773047</v>
      </c>
      <c r="N30" s="59">
        <v>0.5</v>
      </c>
      <c r="O30" s="189">
        <v>4710.75636</v>
      </c>
      <c r="P30" s="185">
        <v>4680.91801</v>
      </c>
      <c r="Q30" s="58">
        <f>O30/P30*100%</f>
        <v>1.0063744654224354</v>
      </c>
      <c r="R30" s="28">
        <v>1</v>
      </c>
      <c r="S30" s="189">
        <v>4710.75636</v>
      </c>
      <c r="T30" s="185">
        <v>3678.13662</v>
      </c>
      <c r="U30" s="61">
        <f>S30/T30*100%</f>
        <v>1.2807453465390852</v>
      </c>
      <c r="V30" s="155">
        <v>1</v>
      </c>
      <c r="W30" s="189">
        <v>709.0411</v>
      </c>
      <c r="X30" s="185">
        <v>2008.0181</v>
      </c>
      <c r="Y30" s="61">
        <f>X30/W30*100%</f>
        <v>2.832019328639764</v>
      </c>
      <c r="Z30" s="155">
        <v>0</v>
      </c>
      <c r="AA30" s="189">
        <v>2008.0181</v>
      </c>
      <c r="AB30" s="185">
        <v>4071.22714</v>
      </c>
      <c r="AC30" s="61">
        <f>AA30/AB30*100%</f>
        <v>0.4932218299173551</v>
      </c>
      <c r="AD30" s="181">
        <f>1-AC30/100%</f>
        <v>0.5067781700826449</v>
      </c>
      <c r="AE30" s="184">
        <v>8180.86548</v>
      </c>
      <c r="AF30" s="185">
        <v>12891.62184</v>
      </c>
      <c r="AG30" s="185">
        <v>193.89</v>
      </c>
      <c r="AH30" s="58">
        <f>AE30/(AF30-AG30)*100%</f>
        <v>0.6442777011740705</v>
      </c>
      <c r="AI30" s="60">
        <v>0.5</v>
      </c>
      <c r="AJ30" s="195">
        <v>1768.7</v>
      </c>
      <c r="AK30" s="196">
        <v>1108.7</v>
      </c>
      <c r="AL30" s="196">
        <f>AJ30-AK30</f>
        <v>660</v>
      </c>
      <c r="AM30" s="147">
        <v>0</v>
      </c>
      <c r="AN30" s="66">
        <v>2776.4</v>
      </c>
      <c r="AO30" s="66">
        <v>2992</v>
      </c>
      <c r="AP30" s="58">
        <f>AN30*100%/AO30</f>
        <v>0.9279411764705883</v>
      </c>
      <c r="AQ30" s="391">
        <v>1</v>
      </c>
      <c r="AR30" s="69">
        <f>AT30*100/AT31</f>
        <v>127.6604777538775</v>
      </c>
      <c r="AS30" s="144">
        <v>13531.46</v>
      </c>
      <c r="AT30" s="66">
        <v>13531.5</v>
      </c>
      <c r="AU30" s="66">
        <v>6670.8</v>
      </c>
      <c r="AV30" s="26">
        <f>AU30*100%/AS30</f>
        <v>0.49298449686877843</v>
      </c>
      <c r="AW30" s="35">
        <v>1</v>
      </c>
      <c r="AX30" s="66">
        <v>2749.37</v>
      </c>
      <c r="AY30" s="66">
        <f>AX30*100/AN30</f>
        <v>99.02643711280795</v>
      </c>
      <c r="AZ30" s="66">
        <f>AX30*100/AU30</f>
        <v>41.21499670204473</v>
      </c>
      <c r="BA30" s="35">
        <v>0</v>
      </c>
      <c r="BB30" s="35">
        <v>1</v>
      </c>
      <c r="BC30" s="392">
        <v>3601</v>
      </c>
      <c r="BD30" s="36">
        <f>AT30*1000/BC30</f>
        <v>3757.7061927242435</v>
      </c>
      <c r="BE30" s="58">
        <f>BD30/BD31*100%</f>
        <v>1.0405024053494347</v>
      </c>
      <c r="BF30" s="35">
        <v>1</v>
      </c>
      <c r="BG30" s="68">
        <f>BD30*100/BD31</f>
        <v>104.05024053494348</v>
      </c>
      <c r="BH30" s="69">
        <f>BJ30*100/AN30</f>
        <v>146.4748865437257</v>
      </c>
      <c r="BI30" s="69">
        <f>BJ30*100/AT30</f>
        <v>30.05379115397406</v>
      </c>
      <c r="BJ30" s="66">
        <f>4066728.75/1000</f>
        <v>4066.72875</v>
      </c>
      <c r="BK30" s="66">
        <f>BJ30*1000/BC30</f>
        <v>1129.333171341294</v>
      </c>
      <c r="BL30" s="58">
        <f>BK30/BK31*100%</f>
        <v>0.8261535508825102</v>
      </c>
      <c r="BM30" s="68">
        <v>0</v>
      </c>
      <c r="BN30" s="73">
        <v>1105.6</v>
      </c>
      <c r="BO30" s="71">
        <v>223</v>
      </c>
      <c r="BP30" s="58">
        <f>BO30/(BN30+BO30)</f>
        <v>0.16784585277735964</v>
      </c>
      <c r="BQ30" s="208">
        <v>1</v>
      </c>
      <c r="BR30" s="38">
        <v>1</v>
      </c>
      <c r="BS30" s="66">
        <v>0</v>
      </c>
      <c r="BT30" s="58">
        <f>BS30*100%/AT30</f>
        <v>0</v>
      </c>
      <c r="BU30" s="383">
        <f>BT30/50%</f>
        <v>0</v>
      </c>
      <c r="BV30" s="169">
        <v>0.4786655150784386</v>
      </c>
      <c r="BW30" s="166">
        <f>1-(BV30/100)</f>
        <v>0.9952133448492156</v>
      </c>
      <c r="BX30" s="393">
        <f>3+2+1</f>
        <v>6</v>
      </c>
      <c r="BY30" s="166">
        <f>(1-BX30/12)</f>
        <v>0.5</v>
      </c>
      <c r="BZ30" s="394">
        <v>0</v>
      </c>
      <c r="CA30" s="381">
        <v>1</v>
      </c>
      <c r="CB30" s="394">
        <v>1</v>
      </c>
      <c r="CC30" s="28">
        <f>1-CB30/4</f>
        <v>0.75</v>
      </c>
      <c r="CD30" s="395">
        <v>1</v>
      </c>
      <c r="CE30" s="387">
        <v>0.5</v>
      </c>
      <c r="CF30" s="73">
        <v>1</v>
      </c>
      <c r="CG30" s="28">
        <f>1-CF30/1</f>
        <v>0</v>
      </c>
      <c r="CH30" s="73"/>
      <c r="CI30" s="48"/>
      <c r="CJ30" s="36"/>
      <c r="CK30" s="28">
        <f>1-CJ30/1</f>
        <v>1</v>
      </c>
      <c r="CL30" s="388">
        <f>BX30+BZ30+CB30+CD30+CF30+CH30+CJ30</f>
        <v>9</v>
      </c>
      <c r="CM30" s="28">
        <f>1-CL30/20</f>
        <v>0.55</v>
      </c>
      <c r="CN30" s="74"/>
      <c r="CO30" s="48">
        <f>1-CN30/6</f>
        <v>1</v>
      </c>
      <c r="CP30" s="66"/>
      <c r="CQ30" s="66">
        <f>1-CP30/11</f>
        <v>1</v>
      </c>
      <c r="CR30" s="394">
        <v>0</v>
      </c>
      <c r="CS30" s="38">
        <f>1-CR30/3</f>
        <v>1</v>
      </c>
      <c r="CT30" s="394">
        <v>1</v>
      </c>
      <c r="CU30" s="381">
        <f>1-CT30/2</f>
        <v>0.5</v>
      </c>
      <c r="CV30" s="393"/>
      <c r="CW30" s="165">
        <f>1-CV30/5</f>
        <v>1</v>
      </c>
      <c r="CX30" s="393">
        <f>4+3+1+1</f>
        <v>9</v>
      </c>
      <c r="CY30" s="165">
        <f>1-CX30/11</f>
        <v>0.18181818181818177</v>
      </c>
      <c r="CZ30" s="393">
        <v>1</v>
      </c>
      <c r="DA30" s="166">
        <f>1-CZ30/8</f>
        <v>0.875</v>
      </c>
      <c r="DB30" s="388">
        <f>CR30+CT30+CX30+CZ30+CV30</f>
        <v>11</v>
      </c>
      <c r="DC30" s="165">
        <f>1-DB30/27</f>
        <v>0.5925925925925926</v>
      </c>
      <c r="DD30" s="396">
        <v>0</v>
      </c>
      <c r="DE30" s="69">
        <v>1</v>
      </c>
      <c r="DF30" s="394">
        <v>4</v>
      </c>
      <c r="DG30" s="155">
        <f>1-DF30/14</f>
        <v>0.7142857142857143</v>
      </c>
      <c r="DH30" s="73">
        <v>31</v>
      </c>
      <c r="DI30" s="38">
        <f>1-DH30/45</f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>DD30+DF30+DH30+DJ30+DL30</f>
        <v>37</v>
      </c>
      <c r="DO30" s="390">
        <f>1-DN30/62</f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>1-DR30/4</f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>D30+F30+J30+N30+R30+V30+Z30+AD30+AI30+AM30+AQ30+AW30+BA30+BB30+BF30+BM30+BR30+BU30+BW30+CM30+DC30+DO30+DQ30+DS30+DU30+DX30+EA30+ED30+EG30+EJ30</f>
        <v>20.94788285343631</v>
      </c>
      <c r="EQ30" s="24">
        <f t="shared" si="42"/>
        <v>21</v>
      </c>
      <c r="ER30" s="36">
        <f>ER28</f>
        <v>1.552704073700215</v>
      </c>
      <c r="ES30" s="77" t="s">
        <v>116</v>
      </c>
    </row>
    <row r="31" spans="1:149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44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45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46"/>
        <v>1</v>
      </c>
      <c r="R31" s="28">
        <v>1</v>
      </c>
      <c r="S31" s="189">
        <v>4064.37919</v>
      </c>
      <c r="T31" s="185">
        <v>2382.42671</v>
      </c>
      <c r="U31" s="61">
        <f t="shared" si="47"/>
        <v>1.7059828841492461</v>
      </c>
      <c r="V31" s="155">
        <v>1</v>
      </c>
      <c r="W31" s="189">
        <v>369.5156</v>
      </c>
      <c r="X31" s="185">
        <v>723.019</v>
      </c>
      <c r="Y31" s="61">
        <f t="shared" si="48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49"/>
        <v>0.20286004098198235</v>
      </c>
      <c r="AD31" s="181">
        <f t="shared" si="50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51"/>
        <v>0.6394565146457978</v>
      </c>
      <c r="AI31" s="60">
        <v>0.5</v>
      </c>
      <c r="AJ31" s="195">
        <v>-119.9</v>
      </c>
      <c r="AK31" s="196">
        <v>129.1</v>
      </c>
      <c r="AL31" s="196">
        <f t="shared" si="52"/>
        <v>-249</v>
      </c>
      <c r="AM31" s="147">
        <v>1</v>
      </c>
      <c r="AN31" s="66">
        <v>2417.2</v>
      </c>
      <c r="AO31" s="66">
        <v>2763</v>
      </c>
      <c r="AP31" s="58">
        <f t="shared" si="53"/>
        <v>0.8748461816865725</v>
      </c>
      <c r="AQ31" s="391">
        <v>1</v>
      </c>
      <c r="AR31" s="69">
        <f>AT31*100/AT43</f>
        <v>2.769841765511503</v>
      </c>
      <c r="AS31" s="144">
        <v>10599.56</v>
      </c>
      <c r="AT31" s="66">
        <v>10599.6</v>
      </c>
      <c r="AU31" s="66">
        <v>5685.3</v>
      </c>
      <c r="AV31" s="26">
        <f t="shared" si="54"/>
        <v>0.536371321073705</v>
      </c>
      <c r="AW31" s="35">
        <v>0.8</v>
      </c>
      <c r="AX31" s="66">
        <v>2364.79</v>
      </c>
      <c r="AY31" s="66">
        <f t="shared" si="55"/>
        <v>97.83178884659938</v>
      </c>
      <c r="AZ31" s="66">
        <f t="shared" si="56"/>
        <v>41.59481469755334</v>
      </c>
      <c r="BA31" s="35">
        <v>0</v>
      </c>
      <c r="BB31" s="35">
        <v>1</v>
      </c>
      <c r="BC31" s="392">
        <v>2935</v>
      </c>
      <c r="BD31" s="36">
        <f>AS31*1000/BC31</f>
        <v>3611.434412265758</v>
      </c>
      <c r="BE31" s="58">
        <f>BD31/BD42*100%</f>
        <v>0.9326451425113217</v>
      </c>
      <c r="BF31" s="35">
        <v>0.9</v>
      </c>
      <c r="BG31" s="68">
        <f>BD31*100/BD43</f>
        <v>93.26451425113217</v>
      </c>
      <c r="BH31" s="69">
        <f t="shared" si="57"/>
        <v>165.9804091510839</v>
      </c>
      <c r="BI31" s="69">
        <f t="shared" si="58"/>
        <v>37.85122504622816</v>
      </c>
      <c r="BJ31" s="66">
        <f>4012078.45/1000</f>
        <v>4012.07845</v>
      </c>
      <c r="BK31" s="66">
        <f t="shared" si="59"/>
        <v>1366.977325383305</v>
      </c>
      <c r="BL31" s="58">
        <f>BK31/BK42*100%</f>
        <v>1.9999431355396842</v>
      </c>
      <c r="BM31" s="68">
        <v>1</v>
      </c>
      <c r="BN31" s="73">
        <v>1675</v>
      </c>
      <c r="BO31" s="71">
        <v>146.59</v>
      </c>
      <c r="BP31" s="58">
        <f t="shared" si="60"/>
        <v>0.08047365213906532</v>
      </c>
      <c r="BQ31" s="208">
        <v>1</v>
      </c>
      <c r="BR31" s="38">
        <v>1</v>
      </c>
      <c r="BS31" s="66">
        <v>0</v>
      </c>
      <c r="BT31" s="58">
        <f t="shared" si="61"/>
        <v>0</v>
      </c>
      <c r="BU31" s="383">
        <f t="shared" si="62"/>
        <v>0</v>
      </c>
      <c r="BV31" s="169">
        <v>0</v>
      </c>
      <c r="BW31" s="166">
        <f t="shared" si="63"/>
        <v>1</v>
      </c>
      <c r="BX31" s="393">
        <f>3+2+1</f>
        <v>6</v>
      </c>
      <c r="BY31" s="166">
        <f t="shared" si="64"/>
        <v>0.5</v>
      </c>
      <c r="BZ31" s="394">
        <v>0</v>
      </c>
      <c r="CA31" s="381">
        <v>1</v>
      </c>
      <c r="CB31" s="394">
        <v>2</v>
      </c>
      <c r="CC31" s="28">
        <f t="shared" si="65"/>
        <v>0.5</v>
      </c>
      <c r="CD31" s="395">
        <v>2</v>
      </c>
      <c r="CE31" s="387">
        <v>0</v>
      </c>
      <c r="CF31" s="73">
        <v>1</v>
      </c>
      <c r="CG31" s="28">
        <f t="shared" si="66"/>
        <v>0</v>
      </c>
      <c r="CH31" s="73"/>
      <c r="CI31" s="48"/>
      <c r="CJ31" s="36">
        <v>1</v>
      </c>
      <c r="CK31" s="28">
        <f t="shared" si="67"/>
        <v>0</v>
      </c>
      <c r="CL31" s="388">
        <f t="shared" si="68"/>
        <v>12</v>
      </c>
      <c r="CM31" s="28">
        <f t="shared" si="69"/>
        <v>0.4</v>
      </c>
      <c r="CN31" s="74"/>
      <c r="CO31" s="48">
        <f t="shared" si="70"/>
        <v>1</v>
      </c>
      <c r="CP31" s="66"/>
      <c r="CQ31" s="66">
        <f t="shared" si="71"/>
        <v>1</v>
      </c>
      <c r="CR31" s="394">
        <v>0</v>
      </c>
      <c r="CS31" s="38">
        <f t="shared" si="72"/>
        <v>1</v>
      </c>
      <c r="CT31" s="394">
        <v>0</v>
      </c>
      <c r="CU31" s="381">
        <f t="shared" si="73"/>
        <v>1</v>
      </c>
      <c r="CV31" s="393">
        <v>2</v>
      </c>
      <c r="CW31" s="165">
        <f t="shared" si="74"/>
        <v>0.6</v>
      </c>
      <c r="CX31" s="393">
        <f>1+1+1+2</f>
        <v>5</v>
      </c>
      <c r="CY31" s="165">
        <f t="shared" si="75"/>
        <v>0.5454545454545454</v>
      </c>
      <c r="CZ31" s="393">
        <v>1</v>
      </c>
      <c r="DA31" s="166">
        <f t="shared" si="76"/>
        <v>0.875</v>
      </c>
      <c r="DB31" s="388">
        <f t="shared" si="77"/>
        <v>8</v>
      </c>
      <c r="DC31" s="165">
        <f t="shared" si="78"/>
        <v>0.7037037037037037</v>
      </c>
      <c r="DD31" s="396">
        <v>0</v>
      </c>
      <c r="DE31" s="69">
        <v>1</v>
      </c>
      <c r="DF31" s="394">
        <v>3</v>
      </c>
      <c r="DG31" s="155">
        <f t="shared" si="79"/>
        <v>0.7857142857142857</v>
      </c>
      <c r="DH31" s="73">
        <v>0</v>
      </c>
      <c r="DI31" s="38">
        <f t="shared" si="80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81"/>
        <v>3</v>
      </c>
      <c r="DO31" s="390">
        <f t="shared" si="82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83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84"/>
        <v>20.75320703499068</v>
      </c>
      <c r="EQ31" s="24">
        <f t="shared" si="42"/>
        <v>22</v>
      </c>
      <c r="ER31" s="36">
        <f>ER29</f>
        <v>1.552704073700215</v>
      </c>
      <c r="ES31" s="77" t="s">
        <v>116</v>
      </c>
    </row>
    <row r="32" spans="1:150" s="54" customFormat="1" ht="37.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44"/>
        <v>0.6505059043974637</v>
      </c>
      <c r="J32" s="78">
        <v>0</v>
      </c>
      <c r="K32" s="189">
        <v>2210.23561</v>
      </c>
      <c r="L32" s="185">
        <v>9698.91023</v>
      </c>
      <c r="M32" s="58">
        <f t="shared" si="45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46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7"/>
        <v>1.2406434568666762</v>
      </c>
      <c r="V32" s="155">
        <v>1</v>
      </c>
      <c r="W32" s="189">
        <v>509.0997</v>
      </c>
      <c r="X32" s="185">
        <v>720.7379</v>
      </c>
      <c r="Y32" s="61">
        <f t="shared" si="48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49"/>
        <v>0.356937478014486</v>
      </c>
      <c r="AD32" s="181">
        <f t="shared" si="50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51"/>
        <v>0.7861531137997742</v>
      </c>
      <c r="AI32" s="60">
        <v>0.3</v>
      </c>
      <c r="AJ32" s="195">
        <v>335.9</v>
      </c>
      <c r="AK32" s="196">
        <v>209</v>
      </c>
      <c r="AL32" s="196">
        <f t="shared" si="52"/>
        <v>126.89999999999998</v>
      </c>
      <c r="AM32" s="147">
        <v>0</v>
      </c>
      <c r="AN32" s="66">
        <v>2380.6</v>
      </c>
      <c r="AO32" s="66">
        <v>2942.3</v>
      </c>
      <c r="AP32" s="58">
        <f t="shared" si="53"/>
        <v>0.8090949257383678</v>
      </c>
      <c r="AQ32" s="391">
        <v>1</v>
      </c>
      <c r="AR32" s="69">
        <f>AT32*100/AT46</f>
        <v>2.6142544049332224</v>
      </c>
      <c r="AS32" s="144">
        <v>10004.19</v>
      </c>
      <c r="AT32" s="66">
        <v>10004.2</v>
      </c>
      <c r="AU32" s="66">
        <v>5229.7</v>
      </c>
      <c r="AV32" s="26">
        <f t="shared" si="54"/>
        <v>0.5227509673446825</v>
      </c>
      <c r="AW32" s="35">
        <v>0.8</v>
      </c>
      <c r="AX32" s="66">
        <v>2224.99</v>
      </c>
      <c r="AY32" s="66">
        <f t="shared" si="55"/>
        <v>93.46341258506258</v>
      </c>
      <c r="AZ32" s="66">
        <f t="shared" si="56"/>
        <v>42.545270283190234</v>
      </c>
      <c r="BA32" s="35">
        <v>0</v>
      </c>
      <c r="BB32" s="35">
        <v>1</v>
      </c>
      <c r="BC32" s="392">
        <v>3312</v>
      </c>
      <c r="BD32" s="36">
        <f>AS32*1000/BC32</f>
        <v>3020.588768115942</v>
      </c>
      <c r="BE32" s="58">
        <f>BD32/BD38*100%</f>
        <v>0.7800605301150026</v>
      </c>
      <c r="BF32" s="35">
        <v>0.7</v>
      </c>
      <c r="BG32" s="68">
        <f>BD32*100/BD46</f>
        <v>78.00605301150026</v>
      </c>
      <c r="BH32" s="69">
        <f t="shared" si="57"/>
        <v>149.1689187599765</v>
      </c>
      <c r="BI32" s="69">
        <f t="shared" si="58"/>
        <v>35.496244377361506</v>
      </c>
      <c r="BJ32" s="66">
        <f>3551115.28/1000</f>
        <v>3551.11528</v>
      </c>
      <c r="BK32" s="66">
        <f t="shared" si="59"/>
        <v>1072.1966425120772</v>
      </c>
      <c r="BL32" s="58">
        <f>BK32/BK38*100%</f>
        <v>1.568667069542977</v>
      </c>
      <c r="BM32" s="68">
        <v>1</v>
      </c>
      <c r="BN32" s="73">
        <v>1251.7</v>
      </c>
      <c r="BO32" s="71">
        <v>88.77</v>
      </c>
      <c r="BP32" s="58">
        <f t="shared" si="60"/>
        <v>0.06622304117212618</v>
      </c>
      <c r="BQ32" s="208">
        <v>1</v>
      </c>
      <c r="BR32" s="38">
        <v>1</v>
      </c>
      <c r="BS32" s="66">
        <f>322472/1000</f>
        <v>322.472</v>
      </c>
      <c r="BT32" s="58">
        <f t="shared" si="61"/>
        <v>0.03223366186201795</v>
      </c>
      <c r="BU32" s="383">
        <f t="shared" si="62"/>
        <v>0.0644673237240359</v>
      </c>
      <c r="BV32" s="169">
        <v>0</v>
      </c>
      <c r="BW32" s="166">
        <f t="shared" si="63"/>
        <v>1</v>
      </c>
      <c r="BX32" s="393">
        <f>2+1+1</f>
        <v>4</v>
      </c>
      <c r="BY32" s="166">
        <f t="shared" si="64"/>
        <v>0.6666666666666667</v>
      </c>
      <c r="BZ32" s="394">
        <v>0</v>
      </c>
      <c r="CA32" s="381">
        <v>1</v>
      </c>
      <c r="CB32" s="394">
        <v>0</v>
      </c>
      <c r="CC32" s="28">
        <f t="shared" si="65"/>
        <v>1</v>
      </c>
      <c r="CD32" s="395">
        <v>1</v>
      </c>
      <c r="CE32" s="387">
        <v>0.5</v>
      </c>
      <c r="CF32" s="73"/>
      <c r="CG32" s="28">
        <f t="shared" si="66"/>
        <v>1</v>
      </c>
      <c r="CH32" s="73"/>
      <c r="CI32" s="48"/>
      <c r="CJ32" s="36">
        <v>1</v>
      </c>
      <c r="CK32" s="28">
        <f t="shared" si="67"/>
        <v>0</v>
      </c>
      <c r="CL32" s="388">
        <f t="shared" si="68"/>
        <v>6</v>
      </c>
      <c r="CM32" s="28">
        <f t="shared" si="69"/>
        <v>0.7</v>
      </c>
      <c r="CN32" s="74"/>
      <c r="CO32" s="48">
        <f t="shared" si="70"/>
        <v>1</v>
      </c>
      <c r="CP32" s="66"/>
      <c r="CQ32" s="66">
        <f t="shared" si="71"/>
        <v>1</v>
      </c>
      <c r="CR32" s="394">
        <v>0</v>
      </c>
      <c r="CS32" s="38">
        <f t="shared" si="72"/>
        <v>1</v>
      </c>
      <c r="CT32" s="394">
        <v>1</v>
      </c>
      <c r="CU32" s="381">
        <f t="shared" si="73"/>
        <v>0.5</v>
      </c>
      <c r="CV32" s="393">
        <v>2</v>
      </c>
      <c r="CW32" s="165">
        <f t="shared" si="74"/>
        <v>0.6</v>
      </c>
      <c r="CX32" s="393">
        <f>2+3+1+1</f>
        <v>7</v>
      </c>
      <c r="CY32" s="165">
        <f t="shared" si="75"/>
        <v>0.36363636363636365</v>
      </c>
      <c r="CZ32" s="393">
        <v>0</v>
      </c>
      <c r="DA32" s="166">
        <f t="shared" si="76"/>
        <v>1</v>
      </c>
      <c r="DB32" s="388">
        <f t="shared" si="77"/>
        <v>10</v>
      </c>
      <c r="DC32" s="165">
        <f t="shared" si="78"/>
        <v>0.6296296296296297</v>
      </c>
      <c r="DD32" s="396">
        <v>1</v>
      </c>
      <c r="DE32" s="69">
        <v>0.5</v>
      </c>
      <c r="DF32" s="394">
        <v>7</v>
      </c>
      <c r="DG32" s="155">
        <f t="shared" si="79"/>
        <v>0.5</v>
      </c>
      <c r="DH32" s="73">
        <v>1</v>
      </c>
      <c r="DI32" s="38">
        <f t="shared" si="80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81"/>
        <v>11</v>
      </c>
      <c r="DO32" s="390">
        <f t="shared" si="82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83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84"/>
        <v>19.83964054628982</v>
      </c>
      <c r="EQ32" s="24">
        <f t="shared" si="42"/>
        <v>23</v>
      </c>
      <c r="ER32" s="36">
        <f t="shared" si="43"/>
        <v>1.552704073700215</v>
      </c>
      <c r="ES32" s="77" t="s">
        <v>116</v>
      </c>
      <c r="ET32" s="80"/>
    </row>
    <row r="33" spans="1:149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44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45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46"/>
        <v>1</v>
      </c>
      <c r="R33" s="28">
        <v>1</v>
      </c>
      <c r="S33" s="190">
        <v>2326.16043</v>
      </c>
      <c r="T33" s="187">
        <v>1790.64052</v>
      </c>
      <c r="U33" s="86">
        <f t="shared" si="47"/>
        <v>1.2990661185305914</v>
      </c>
      <c r="V33" s="156">
        <v>1</v>
      </c>
      <c r="W33" s="190">
        <v>380.0074</v>
      </c>
      <c r="X33" s="187">
        <v>544.3838</v>
      </c>
      <c r="Y33" s="86">
        <f t="shared" si="48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49"/>
        <v>0.24819008242307836</v>
      </c>
      <c r="AD33" s="181">
        <f t="shared" si="50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51"/>
        <v>0.6602900555687311</v>
      </c>
      <c r="AI33" s="87">
        <v>0.5</v>
      </c>
      <c r="AJ33" s="198">
        <v>649.1</v>
      </c>
      <c r="AK33" s="199">
        <v>500.2</v>
      </c>
      <c r="AL33" s="199">
        <f t="shared" si="52"/>
        <v>148.90000000000003</v>
      </c>
      <c r="AM33" s="148">
        <v>0</v>
      </c>
      <c r="AN33" s="92">
        <v>1525.9</v>
      </c>
      <c r="AO33" s="92">
        <v>2211.3</v>
      </c>
      <c r="AP33" s="84">
        <f t="shared" si="53"/>
        <v>0.6900465789354678</v>
      </c>
      <c r="AQ33" s="398">
        <v>1</v>
      </c>
      <c r="AR33" s="95">
        <f>AT33*100/AT59</f>
        <v>1.8486778340796943</v>
      </c>
      <c r="AS33" s="145">
        <v>7074.51</v>
      </c>
      <c r="AT33" s="92">
        <v>7074.5</v>
      </c>
      <c r="AU33" s="92">
        <v>3980.6</v>
      </c>
      <c r="AV33" s="26">
        <f t="shared" si="54"/>
        <v>0.5626679444936822</v>
      </c>
      <c r="AW33" s="35">
        <v>0.8</v>
      </c>
      <c r="AX33" s="92">
        <v>1435.47</v>
      </c>
      <c r="AY33" s="92">
        <f t="shared" si="55"/>
        <v>94.07366144570418</v>
      </c>
      <c r="AZ33" s="92">
        <f t="shared" si="56"/>
        <v>36.06164899763855</v>
      </c>
      <c r="BA33" s="399">
        <v>0</v>
      </c>
      <c r="BB33" s="399">
        <v>1</v>
      </c>
      <c r="BC33" s="400">
        <v>1888</v>
      </c>
      <c r="BD33" s="36">
        <f>AS33*1000/BC33</f>
        <v>3747.0921610169494</v>
      </c>
      <c r="BE33" s="84">
        <f>BD33/BD47*100%</f>
        <v>0.967678463340051</v>
      </c>
      <c r="BF33" s="399">
        <v>0.9</v>
      </c>
      <c r="BG33" s="94">
        <f>BD33*100/BD59</f>
        <v>96.76784633400509</v>
      </c>
      <c r="BH33" s="95">
        <f t="shared" si="57"/>
        <v>127.18876138672259</v>
      </c>
      <c r="BI33" s="95">
        <f t="shared" si="58"/>
        <v>27.433363629938512</v>
      </c>
      <c r="BJ33" s="92">
        <f>1940773.31/1000</f>
        <v>1940.77331</v>
      </c>
      <c r="BK33" s="92">
        <f t="shared" si="59"/>
        <v>1027.9519650423729</v>
      </c>
      <c r="BL33" s="84">
        <f>BK33/BK47*100%</f>
        <v>1.503935316245686</v>
      </c>
      <c r="BM33" s="94">
        <v>1</v>
      </c>
      <c r="BN33" s="99">
        <v>720.4</v>
      </c>
      <c r="BO33" s="97">
        <v>63.9</v>
      </c>
      <c r="BP33" s="84">
        <f t="shared" si="60"/>
        <v>0.0814739257937014</v>
      </c>
      <c r="BQ33" s="208">
        <v>1</v>
      </c>
      <c r="BR33" s="401">
        <v>1</v>
      </c>
      <c r="BS33" s="92">
        <v>0</v>
      </c>
      <c r="BT33" s="84">
        <f t="shared" si="61"/>
        <v>0</v>
      </c>
      <c r="BU33" s="402">
        <f t="shared" si="62"/>
        <v>0</v>
      </c>
      <c r="BV33" s="170">
        <v>3.032018945521797</v>
      </c>
      <c r="BW33" s="167">
        <f t="shared" si="63"/>
        <v>0.969679810544782</v>
      </c>
      <c r="BX33" s="403">
        <f>4+2+3</f>
        <v>9</v>
      </c>
      <c r="BY33" s="167">
        <f t="shared" si="64"/>
        <v>0.25</v>
      </c>
      <c r="BZ33" s="404">
        <v>0</v>
      </c>
      <c r="CA33" s="381">
        <v>1</v>
      </c>
      <c r="CB33" s="404">
        <v>2</v>
      </c>
      <c r="CC33" s="161">
        <f t="shared" si="65"/>
        <v>0.5</v>
      </c>
      <c r="CD33" s="405">
        <v>1</v>
      </c>
      <c r="CE33" s="387">
        <v>0.5</v>
      </c>
      <c r="CF33" s="99"/>
      <c r="CG33" s="28">
        <f t="shared" si="66"/>
        <v>1</v>
      </c>
      <c r="CH33" s="99"/>
      <c r="CI33" s="100"/>
      <c r="CJ33" s="406"/>
      <c r="CK33" s="28">
        <f t="shared" si="67"/>
        <v>1</v>
      </c>
      <c r="CL33" s="388">
        <f t="shared" si="68"/>
        <v>12</v>
      </c>
      <c r="CM33" s="28">
        <f t="shared" si="69"/>
        <v>0.4</v>
      </c>
      <c r="CN33" s="101"/>
      <c r="CO33" s="100">
        <f t="shared" si="70"/>
        <v>1</v>
      </c>
      <c r="CP33" s="92"/>
      <c r="CQ33" s="92">
        <f t="shared" si="71"/>
        <v>1</v>
      </c>
      <c r="CR33" s="404">
        <v>0</v>
      </c>
      <c r="CS33" s="38">
        <f t="shared" si="72"/>
        <v>1</v>
      </c>
      <c r="CT33" s="404">
        <v>0</v>
      </c>
      <c r="CU33" s="381">
        <f t="shared" si="73"/>
        <v>1</v>
      </c>
      <c r="CV33" s="403">
        <v>0</v>
      </c>
      <c r="CW33" s="165">
        <f t="shared" si="74"/>
        <v>1</v>
      </c>
      <c r="CX33" s="403">
        <f>3+3+2+3</f>
        <v>11</v>
      </c>
      <c r="CY33" s="165">
        <f t="shared" si="75"/>
        <v>0</v>
      </c>
      <c r="CZ33" s="403">
        <v>5</v>
      </c>
      <c r="DA33" s="167">
        <f t="shared" si="76"/>
        <v>0.375</v>
      </c>
      <c r="DB33" s="388">
        <f t="shared" si="77"/>
        <v>16</v>
      </c>
      <c r="DC33" s="165">
        <f t="shared" si="78"/>
        <v>0.40740740740740744</v>
      </c>
      <c r="DD33" s="407">
        <v>2</v>
      </c>
      <c r="DE33" s="95">
        <v>0</v>
      </c>
      <c r="DF33" s="404">
        <v>13</v>
      </c>
      <c r="DG33" s="155">
        <f t="shared" si="79"/>
        <v>0.0714285714285714</v>
      </c>
      <c r="DH33" s="99">
        <v>4</v>
      </c>
      <c r="DI33" s="38">
        <f t="shared" si="80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f t="shared" si="81"/>
        <v>21</v>
      </c>
      <c r="DO33" s="390">
        <f t="shared" si="82"/>
        <v>0.6612903225806452</v>
      </c>
      <c r="DP33" s="177">
        <v>400</v>
      </c>
      <c r="DQ33" s="167">
        <f>1-DP33/(1002)*100/100</f>
        <v>0.6007984031936127</v>
      </c>
      <c r="DR33" s="92">
        <v>3</v>
      </c>
      <c r="DS33" s="161">
        <f t="shared" si="83"/>
        <v>0.25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84"/>
        <v>19.740985861303372</v>
      </c>
      <c r="EQ33" s="24">
        <f t="shared" si="42"/>
        <v>24</v>
      </c>
      <c r="ER33" s="36">
        <f t="shared" si="43"/>
        <v>1.552704073700215</v>
      </c>
      <c r="ES33" s="77" t="s">
        <v>116</v>
      </c>
    </row>
    <row r="34" spans="1:149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44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45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46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7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48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49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51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52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53"/>
        <v>0.8316409446152978</v>
      </c>
      <c r="AQ34" s="126">
        <v>1</v>
      </c>
      <c r="AR34" s="126">
        <f>SUM(AR1:AR12)</f>
        <v>17.439738642501585</v>
      </c>
      <c r="AS34" s="120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54"/>
        <v>0.3496187286222518</v>
      </c>
      <c r="AW34" s="126">
        <v>1</v>
      </c>
      <c r="AX34" s="120">
        <f>SUM(AX10:AX33)</f>
        <v>56525.35</v>
      </c>
      <c r="AY34" s="127">
        <f t="shared" si="55"/>
        <v>95.88417297550369</v>
      </c>
      <c r="AZ34" s="127">
        <f t="shared" si="56"/>
        <v>42.24877178479682</v>
      </c>
      <c r="BA34" s="126">
        <f>SUM(BA1:BA12)/24</f>
        <v>0</v>
      </c>
      <c r="BB34" s="126">
        <v>1</v>
      </c>
      <c r="BC34" s="120">
        <f>SUM(BC10:BC33)</f>
        <v>98826</v>
      </c>
      <c r="BD34" s="120">
        <f>AT34*1000/BC34</f>
        <v>3872.24920567462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57"/>
        <v>114.58256696583818</v>
      </c>
      <c r="BI34" s="129">
        <f t="shared" si="58"/>
        <v>17.651449068657826</v>
      </c>
      <c r="BJ34" s="120">
        <f>SUM(BJ10:BJ33)</f>
        <v>67548.37113000001</v>
      </c>
      <c r="BK34" s="130">
        <f t="shared" si="59"/>
        <v>683.5080963511627</v>
      </c>
      <c r="BL34" s="125">
        <f>BK34/BK40*100%</f>
        <v>1</v>
      </c>
      <c r="BM34" s="126">
        <f>SUM(BM10:BM33)/24</f>
        <v>0.5</v>
      </c>
      <c r="BN34" s="120">
        <f>SUM(BN10:BN33)</f>
        <v>15878.800000000001</v>
      </c>
      <c r="BO34" s="120">
        <f>SUM(BO10:BO33)</f>
        <v>4157.8</v>
      </c>
      <c r="BP34" s="131">
        <f t="shared" si="60"/>
        <v>0.2075102562310971</v>
      </c>
      <c r="BQ34" s="207">
        <v>1</v>
      </c>
      <c r="BR34" s="126">
        <f>SUM(BR10:BR33)/24</f>
        <v>1</v>
      </c>
      <c r="BS34" s="201">
        <f>SUM(BS10:BS33)</f>
        <v>36623.070190000006</v>
      </c>
      <c r="BT34" s="411">
        <f t="shared" si="61"/>
        <v>0.09570182779871063</v>
      </c>
      <c r="BU34" s="412">
        <f t="shared" si="62"/>
        <v>0.19140365559742126</v>
      </c>
      <c r="BV34" s="164">
        <v>2.945818984580009</v>
      </c>
      <c r="BW34" s="413">
        <f t="shared" si="63"/>
        <v>0.9705418101541999</v>
      </c>
      <c r="BX34" s="414">
        <f>SUM(BX10:BX33)</f>
        <v>150</v>
      </c>
      <c r="BY34" s="415">
        <f>SUM(BY10:BY33)/24</f>
        <v>0.4791666666666667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226</v>
      </c>
      <c r="CM34" s="413">
        <f>SUM(CM10:CM33)/24</f>
        <v>0.5291666666666668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43</v>
      </c>
      <c r="CW34" s="413">
        <f>SUM(CW10:CW33)/24</f>
        <v>0.6416666666666667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313</v>
      </c>
      <c r="DC34" s="413">
        <f>SUM(DC10:DC33)/24</f>
        <v>0.5169753086419754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0.7803732717444495</v>
      </c>
      <c r="DR34" s="137">
        <f>SUM(DR10:DR33)</f>
        <v>33</v>
      </c>
      <c r="DS34" s="162">
        <f>SUM(DS10:DS33)/24</f>
        <v>0.65625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21.81090431085457</v>
      </c>
      <c r="EQ34" s="135" t="s">
        <v>142</v>
      </c>
      <c r="ER34" s="149">
        <f>ER33</f>
        <v>1.552704073700215</v>
      </c>
      <c r="ES34" s="137" t="s">
        <v>142</v>
      </c>
    </row>
    <row r="35" spans="7:147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85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86" ref="BD35:BD66">BD34</f>
        <v>3872.24920567462</v>
      </c>
      <c r="BK35" s="140">
        <f aca="true" t="shared" si="87" ref="BK35:BK66">BK34</f>
        <v>683.5080963511627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23.46360838455479</v>
      </c>
      <c r="EQ35" s="3" t="s">
        <v>145</v>
      </c>
    </row>
    <row r="36" spans="7:147" ht="15.75" hidden="1">
      <c r="G36" s="142">
        <f aca="true" t="shared" si="88" ref="G36:AM36">G35-G34</f>
        <v>-53184.71298999997</v>
      </c>
      <c r="H36" s="142">
        <f t="shared" si="88"/>
        <v>-40867.81797000006</v>
      </c>
      <c r="I36" s="142">
        <f t="shared" si="88"/>
        <v>-0.18253467418381802</v>
      </c>
      <c r="J36" s="142">
        <f t="shared" si="88"/>
        <v>0.07704959970420891</v>
      </c>
      <c r="K36" s="142">
        <f t="shared" si="88"/>
        <v>-40867.81797000006</v>
      </c>
      <c r="L36" s="142">
        <f t="shared" si="88"/>
        <v>-2466.690190000052</v>
      </c>
      <c r="M36" s="142">
        <f t="shared" si="88"/>
        <v>-0.10671028870508137</v>
      </c>
      <c r="N36" s="142">
        <f t="shared" si="88"/>
        <v>-0.125</v>
      </c>
      <c r="O36" s="142">
        <f t="shared" si="88"/>
        <v>-40867.81797000006</v>
      </c>
      <c r="P36" s="142">
        <f t="shared" si="88"/>
        <v>-35432.560880000034</v>
      </c>
      <c r="Q36" s="142">
        <f t="shared" si="88"/>
        <v>-0.027735720192256563</v>
      </c>
      <c r="R36" s="142">
        <f t="shared" si="88"/>
        <v>-0.006579787714312779</v>
      </c>
      <c r="S36" s="142">
        <f t="shared" si="88"/>
        <v>-40867.81797000006</v>
      </c>
      <c r="T36" s="142">
        <f t="shared" si="88"/>
        <v>-43296.26126999999</v>
      </c>
      <c r="U36" s="142">
        <f t="shared" si="88"/>
        <v>0.11910764432120513</v>
      </c>
      <c r="V36" s="142">
        <f t="shared" si="88"/>
        <v>-0.125</v>
      </c>
      <c r="W36" s="142">
        <f t="shared" si="88"/>
        <v>-15834.607899999992</v>
      </c>
      <c r="X36" s="142">
        <f t="shared" si="88"/>
        <v>-18821.492800000015</v>
      </c>
      <c r="Y36" s="142">
        <f t="shared" si="88"/>
        <v>0.45010886171500863</v>
      </c>
      <c r="Z36" s="142">
        <f t="shared" si="88"/>
        <v>0.029166666666666653</v>
      </c>
      <c r="AA36" s="142">
        <f t="shared" si="88"/>
        <v>-18821.492800000015</v>
      </c>
      <c r="AB36" s="142">
        <f t="shared" si="88"/>
        <v>-31582.076839999965</v>
      </c>
      <c r="AC36" s="142">
        <f t="shared" si="88"/>
        <v>-0.06986078032663165</v>
      </c>
      <c r="AD36" s="142">
        <f t="shared" si="88"/>
        <v>-0.7149501009900274</v>
      </c>
      <c r="AE36" s="142">
        <f t="shared" si="88"/>
        <v>38401.12778000001</v>
      </c>
      <c r="AF36" s="142">
        <f t="shared" si="88"/>
        <v>-2466.6905700000934</v>
      </c>
      <c r="AG36" s="142">
        <f t="shared" si="88"/>
        <v>-173.34800000000087</v>
      </c>
      <c r="AH36" s="142">
        <f t="shared" si="88"/>
        <v>0.09029546423618146</v>
      </c>
      <c r="AI36" s="142">
        <f t="shared" si="88"/>
        <v>-0.15416666666666667</v>
      </c>
      <c r="AJ36" s="142">
        <f t="shared" si="88"/>
        <v>618.6402300000045</v>
      </c>
      <c r="AK36" s="142">
        <f t="shared" si="88"/>
        <v>10631.333999999999</v>
      </c>
      <c r="AL36" s="142">
        <f t="shared" si="88"/>
        <v>-10012.69376999999</v>
      </c>
      <c r="AM36" s="142">
        <f t="shared" si="88"/>
        <v>0.125</v>
      </c>
      <c r="AN36" s="142"/>
      <c r="AO36" s="142"/>
      <c r="AP36" s="142"/>
      <c r="AQ36" s="142"/>
      <c r="AT36" s="140">
        <f t="shared" si="85"/>
        <v>382678.9</v>
      </c>
      <c r="BD36" s="140">
        <f t="shared" si="86"/>
        <v>3872.24920567462</v>
      </c>
      <c r="BK36" s="140">
        <f t="shared" si="87"/>
        <v>683.5080963511627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20.358200237154357</v>
      </c>
      <c r="EQ36" s="3" t="s">
        <v>147</v>
      </c>
    </row>
    <row r="37" spans="46:147" ht="15.75">
      <c r="AT37" s="140">
        <f t="shared" si="85"/>
        <v>382678.9</v>
      </c>
      <c r="BD37" s="140">
        <f t="shared" si="86"/>
        <v>3872.24920567462</v>
      </c>
      <c r="BK37" s="140">
        <f t="shared" si="87"/>
        <v>683.5080963511627</v>
      </c>
      <c r="EM37" s="3" t="s">
        <v>148</v>
      </c>
      <c r="EQ37" s="3" t="s">
        <v>149</v>
      </c>
    </row>
    <row r="38" spans="46:63" ht="15.75">
      <c r="AT38" s="140">
        <f t="shared" si="85"/>
        <v>382678.9</v>
      </c>
      <c r="BD38" s="140">
        <f t="shared" si="86"/>
        <v>3872.24920567462</v>
      </c>
      <c r="BK38" s="140">
        <f t="shared" si="87"/>
        <v>683.5080963511627</v>
      </c>
    </row>
    <row r="39" spans="46:63" ht="15.75">
      <c r="AT39" s="140">
        <f t="shared" si="85"/>
        <v>382678.9</v>
      </c>
      <c r="BD39" s="140">
        <f t="shared" si="86"/>
        <v>3872.24920567462</v>
      </c>
      <c r="BK39" s="140">
        <f t="shared" si="87"/>
        <v>683.5080963511627</v>
      </c>
    </row>
    <row r="40" spans="46:63" ht="15.75">
      <c r="AT40" s="140">
        <f t="shared" si="85"/>
        <v>382678.9</v>
      </c>
      <c r="BD40" s="140">
        <f t="shared" si="86"/>
        <v>3872.24920567462</v>
      </c>
      <c r="BK40" s="140">
        <f t="shared" si="87"/>
        <v>683.5080963511627</v>
      </c>
    </row>
    <row r="41" spans="46:63" ht="15.75">
      <c r="AT41" s="140">
        <f t="shared" si="85"/>
        <v>382678.9</v>
      </c>
      <c r="BD41" s="140">
        <f t="shared" si="86"/>
        <v>3872.24920567462</v>
      </c>
      <c r="BK41" s="140">
        <f t="shared" si="87"/>
        <v>683.5080963511627</v>
      </c>
    </row>
    <row r="42" spans="46:63" ht="15.75">
      <c r="AT42" s="140">
        <f t="shared" si="85"/>
        <v>382678.9</v>
      </c>
      <c r="BD42" s="140">
        <f t="shared" si="86"/>
        <v>3872.24920567462</v>
      </c>
      <c r="BK42" s="140">
        <f t="shared" si="87"/>
        <v>683.5080963511627</v>
      </c>
    </row>
    <row r="43" spans="46:63" ht="15.75">
      <c r="AT43" s="140">
        <f t="shared" si="85"/>
        <v>382678.9</v>
      </c>
      <c r="BD43" s="140">
        <f t="shared" si="86"/>
        <v>3872.24920567462</v>
      </c>
      <c r="BK43" s="140">
        <f t="shared" si="87"/>
        <v>683.5080963511627</v>
      </c>
    </row>
    <row r="44" spans="46:63" ht="15.75">
      <c r="AT44" s="140">
        <f t="shared" si="85"/>
        <v>382678.9</v>
      </c>
      <c r="BD44" s="140">
        <f t="shared" si="86"/>
        <v>3872.24920567462</v>
      </c>
      <c r="BK44" s="140">
        <f t="shared" si="87"/>
        <v>683.5080963511627</v>
      </c>
    </row>
    <row r="45" spans="46:63" ht="15.75">
      <c r="AT45" s="140">
        <f t="shared" si="85"/>
        <v>382678.9</v>
      </c>
      <c r="BD45" s="140">
        <f t="shared" si="86"/>
        <v>3872.24920567462</v>
      </c>
      <c r="BK45" s="140">
        <f t="shared" si="87"/>
        <v>683.5080963511627</v>
      </c>
    </row>
    <row r="46" spans="46:63" ht="15.75">
      <c r="AT46" s="140">
        <f t="shared" si="85"/>
        <v>382678.9</v>
      </c>
      <c r="BD46" s="140">
        <f t="shared" si="86"/>
        <v>3872.24920567462</v>
      </c>
      <c r="BK46" s="140">
        <f t="shared" si="87"/>
        <v>683.5080963511627</v>
      </c>
    </row>
    <row r="47" spans="46:63" ht="15.75">
      <c r="AT47" s="140">
        <f t="shared" si="85"/>
        <v>382678.9</v>
      </c>
      <c r="BD47" s="140">
        <f t="shared" si="86"/>
        <v>3872.24920567462</v>
      </c>
      <c r="BK47" s="140">
        <f t="shared" si="87"/>
        <v>683.5080963511627</v>
      </c>
    </row>
    <row r="48" spans="46:63" ht="15.75">
      <c r="AT48" s="140">
        <f t="shared" si="85"/>
        <v>382678.9</v>
      </c>
      <c r="BD48" s="140">
        <f t="shared" si="86"/>
        <v>3872.24920567462</v>
      </c>
      <c r="BK48" s="140">
        <f t="shared" si="87"/>
        <v>683.5080963511627</v>
      </c>
    </row>
    <row r="49" spans="46:63" ht="15.75">
      <c r="AT49" s="140">
        <f t="shared" si="85"/>
        <v>382678.9</v>
      </c>
      <c r="BD49" s="140">
        <f t="shared" si="86"/>
        <v>3872.24920567462</v>
      </c>
      <c r="BK49" s="140">
        <f t="shared" si="87"/>
        <v>683.5080963511627</v>
      </c>
    </row>
    <row r="50" spans="46:63" ht="15.75">
      <c r="AT50" s="140">
        <f t="shared" si="85"/>
        <v>382678.9</v>
      </c>
      <c r="BD50" s="140">
        <f t="shared" si="86"/>
        <v>3872.24920567462</v>
      </c>
      <c r="BK50" s="140">
        <f t="shared" si="87"/>
        <v>683.5080963511627</v>
      </c>
    </row>
    <row r="51" spans="46:63" ht="15.75">
      <c r="AT51" s="140">
        <f t="shared" si="85"/>
        <v>382678.9</v>
      </c>
      <c r="BD51" s="140">
        <f t="shared" si="86"/>
        <v>3872.24920567462</v>
      </c>
      <c r="BK51" s="140">
        <f t="shared" si="87"/>
        <v>683.5080963511627</v>
      </c>
    </row>
    <row r="52" spans="46:63" ht="15.75">
      <c r="AT52" s="140">
        <f t="shared" si="85"/>
        <v>382678.9</v>
      </c>
      <c r="BD52" s="140">
        <f t="shared" si="86"/>
        <v>3872.24920567462</v>
      </c>
      <c r="BK52" s="140">
        <f t="shared" si="87"/>
        <v>683.5080963511627</v>
      </c>
    </row>
    <row r="53" spans="46:63" ht="15.75">
      <c r="AT53" s="140">
        <f t="shared" si="85"/>
        <v>382678.9</v>
      </c>
      <c r="BD53" s="140">
        <f t="shared" si="86"/>
        <v>3872.24920567462</v>
      </c>
      <c r="BK53" s="140">
        <f t="shared" si="87"/>
        <v>683.5080963511627</v>
      </c>
    </row>
    <row r="54" spans="46:63" ht="15.75">
      <c r="AT54" s="140">
        <f t="shared" si="85"/>
        <v>382678.9</v>
      </c>
      <c r="BD54" s="140">
        <f t="shared" si="86"/>
        <v>3872.24920567462</v>
      </c>
      <c r="BK54" s="140">
        <f t="shared" si="87"/>
        <v>683.5080963511627</v>
      </c>
    </row>
    <row r="55" spans="46:63" ht="15.75">
      <c r="AT55" s="140">
        <f t="shared" si="85"/>
        <v>382678.9</v>
      </c>
      <c r="BD55" s="140">
        <f t="shared" si="86"/>
        <v>3872.24920567462</v>
      </c>
      <c r="BK55" s="140">
        <f t="shared" si="87"/>
        <v>683.5080963511627</v>
      </c>
    </row>
    <row r="56" spans="46:63" ht="15.75">
      <c r="AT56" s="140">
        <f t="shared" si="85"/>
        <v>382678.9</v>
      </c>
      <c r="BD56" s="140">
        <f t="shared" si="86"/>
        <v>3872.24920567462</v>
      </c>
      <c r="BK56" s="140">
        <f t="shared" si="87"/>
        <v>683.5080963511627</v>
      </c>
    </row>
    <row r="57" spans="46:63" ht="15.75">
      <c r="AT57" s="140">
        <f t="shared" si="85"/>
        <v>382678.9</v>
      </c>
      <c r="BD57" s="140">
        <f t="shared" si="86"/>
        <v>3872.24920567462</v>
      </c>
      <c r="BK57" s="140">
        <f t="shared" si="87"/>
        <v>683.5080963511627</v>
      </c>
    </row>
    <row r="58" spans="46:63" ht="15.75">
      <c r="AT58" s="140">
        <f t="shared" si="85"/>
        <v>382678.9</v>
      </c>
      <c r="BD58" s="140">
        <f t="shared" si="86"/>
        <v>3872.24920567462</v>
      </c>
      <c r="BK58" s="140">
        <f t="shared" si="87"/>
        <v>683.5080963511627</v>
      </c>
    </row>
    <row r="59" spans="46:63" ht="15.75">
      <c r="AT59" s="140">
        <f t="shared" si="85"/>
        <v>382678.9</v>
      </c>
      <c r="BD59" s="140">
        <f t="shared" si="86"/>
        <v>3872.24920567462</v>
      </c>
      <c r="BK59" s="140">
        <f t="shared" si="87"/>
        <v>683.5080963511627</v>
      </c>
    </row>
    <row r="60" spans="46:63" ht="15.75">
      <c r="AT60" s="140">
        <f t="shared" si="85"/>
        <v>382678.9</v>
      </c>
      <c r="BD60" s="140">
        <f t="shared" si="86"/>
        <v>3872.24920567462</v>
      </c>
      <c r="BK60" s="140">
        <f t="shared" si="87"/>
        <v>683.5080963511627</v>
      </c>
    </row>
    <row r="61" spans="46:63" ht="15.75">
      <c r="AT61" s="140">
        <f t="shared" si="85"/>
        <v>382678.9</v>
      </c>
      <c r="BD61" s="140">
        <f t="shared" si="86"/>
        <v>3872.24920567462</v>
      </c>
      <c r="BK61" s="140">
        <f t="shared" si="87"/>
        <v>683.5080963511627</v>
      </c>
    </row>
    <row r="62" spans="46:63" ht="15.75">
      <c r="AT62" s="140">
        <f t="shared" si="85"/>
        <v>382678.9</v>
      </c>
      <c r="BD62" s="140">
        <f t="shared" si="86"/>
        <v>3872.24920567462</v>
      </c>
      <c r="BK62" s="140">
        <f t="shared" si="87"/>
        <v>683.5080963511627</v>
      </c>
    </row>
    <row r="63" spans="46:63" ht="15.75">
      <c r="AT63" s="140">
        <f t="shared" si="85"/>
        <v>382678.9</v>
      </c>
      <c r="BD63" s="140">
        <f t="shared" si="86"/>
        <v>3872.24920567462</v>
      </c>
      <c r="BK63" s="140">
        <f t="shared" si="87"/>
        <v>683.5080963511627</v>
      </c>
    </row>
    <row r="64" spans="46:63" ht="15.75">
      <c r="AT64" s="140">
        <f t="shared" si="85"/>
        <v>382678.9</v>
      </c>
      <c r="BD64" s="140">
        <f t="shared" si="86"/>
        <v>3872.24920567462</v>
      </c>
      <c r="BK64" s="140">
        <f t="shared" si="87"/>
        <v>683.5080963511627</v>
      </c>
    </row>
    <row r="65" spans="46:63" ht="15.75">
      <c r="AT65" s="140">
        <f t="shared" si="85"/>
        <v>382678.9</v>
      </c>
      <c r="BD65" s="140">
        <f t="shared" si="86"/>
        <v>3872.24920567462</v>
      </c>
      <c r="BK65" s="140">
        <f t="shared" si="87"/>
        <v>683.5080963511627</v>
      </c>
    </row>
    <row r="66" spans="46:63" ht="15.75">
      <c r="AT66" s="140">
        <f t="shared" si="85"/>
        <v>382678.9</v>
      </c>
      <c r="BD66" s="140">
        <f t="shared" si="86"/>
        <v>3872.24920567462</v>
      </c>
      <c r="BK66" s="140">
        <f t="shared" si="87"/>
        <v>683.5080963511627</v>
      </c>
    </row>
    <row r="67" spans="46:63" ht="15.75">
      <c r="AT67" s="140">
        <f t="shared" si="85"/>
        <v>382678.9</v>
      </c>
      <c r="BD67" s="140">
        <f aca="true" t="shared" si="89" ref="BD67:BD90">BD66</f>
        <v>3872.24920567462</v>
      </c>
      <c r="BK67" s="140">
        <f aca="true" t="shared" si="90" ref="BK67:BK99">BK66</f>
        <v>683.5080963511627</v>
      </c>
    </row>
    <row r="68" spans="46:63" ht="15.75">
      <c r="AT68" s="140">
        <f t="shared" si="85"/>
        <v>382678.9</v>
      </c>
      <c r="BD68" s="140">
        <f t="shared" si="89"/>
        <v>3872.24920567462</v>
      </c>
      <c r="BK68" s="140">
        <f t="shared" si="90"/>
        <v>683.5080963511627</v>
      </c>
    </row>
    <row r="69" spans="46:63" ht="15.75">
      <c r="AT69" s="140">
        <f t="shared" si="85"/>
        <v>382678.9</v>
      </c>
      <c r="BD69" s="140">
        <f t="shared" si="89"/>
        <v>3872.24920567462</v>
      </c>
      <c r="BK69" s="140">
        <f t="shared" si="90"/>
        <v>683.5080963511627</v>
      </c>
    </row>
    <row r="70" spans="46:63" ht="15.75">
      <c r="AT70" s="140">
        <f t="shared" si="85"/>
        <v>382678.9</v>
      </c>
      <c r="BD70" s="140">
        <f t="shared" si="89"/>
        <v>3872.24920567462</v>
      </c>
      <c r="BK70" s="140">
        <f t="shared" si="90"/>
        <v>683.5080963511627</v>
      </c>
    </row>
    <row r="71" spans="46:63" ht="15.75">
      <c r="AT71" s="140">
        <f t="shared" si="85"/>
        <v>382678.9</v>
      </c>
      <c r="BD71" s="140">
        <f t="shared" si="89"/>
        <v>3872.24920567462</v>
      </c>
      <c r="BK71" s="140">
        <f t="shared" si="90"/>
        <v>683.5080963511627</v>
      </c>
    </row>
    <row r="72" spans="46:63" ht="15.75">
      <c r="AT72" s="140">
        <f t="shared" si="85"/>
        <v>382678.9</v>
      </c>
      <c r="BD72" s="140">
        <f t="shared" si="89"/>
        <v>3872.24920567462</v>
      </c>
      <c r="BK72" s="140">
        <f t="shared" si="90"/>
        <v>683.5080963511627</v>
      </c>
    </row>
    <row r="73" spans="46:63" ht="15.75">
      <c r="AT73" s="140">
        <f t="shared" si="85"/>
        <v>382678.9</v>
      </c>
      <c r="BD73" s="140">
        <f t="shared" si="89"/>
        <v>3872.24920567462</v>
      </c>
      <c r="BK73" s="140">
        <f t="shared" si="90"/>
        <v>683.5080963511627</v>
      </c>
    </row>
    <row r="74" spans="46:63" ht="15.75">
      <c r="AT74" s="140">
        <f t="shared" si="85"/>
        <v>382678.9</v>
      </c>
      <c r="BD74" s="140">
        <f t="shared" si="89"/>
        <v>3872.24920567462</v>
      </c>
      <c r="BK74" s="140">
        <f t="shared" si="90"/>
        <v>683.5080963511627</v>
      </c>
    </row>
    <row r="75" spans="46:63" ht="15.75">
      <c r="AT75" s="140">
        <f t="shared" si="85"/>
        <v>382678.9</v>
      </c>
      <c r="BD75" s="140">
        <f t="shared" si="89"/>
        <v>3872.24920567462</v>
      </c>
      <c r="BK75" s="140">
        <f t="shared" si="90"/>
        <v>683.5080963511627</v>
      </c>
    </row>
    <row r="76" spans="46:63" ht="15.75">
      <c r="AT76" s="140">
        <f t="shared" si="85"/>
        <v>382678.9</v>
      </c>
      <c r="BD76" s="140">
        <f t="shared" si="89"/>
        <v>3872.24920567462</v>
      </c>
      <c r="BK76" s="140">
        <f t="shared" si="90"/>
        <v>683.5080963511627</v>
      </c>
    </row>
    <row r="77" spans="46:63" ht="15.75">
      <c r="AT77" s="140">
        <f t="shared" si="85"/>
        <v>382678.9</v>
      </c>
      <c r="BD77" s="140">
        <f t="shared" si="89"/>
        <v>3872.24920567462</v>
      </c>
      <c r="BK77" s="140">
        <f t="shared" si="90"/>
        <v>683.5080963511627</v>
      </c>
    </row>
    <row r="78" spans="46:63" ht="15.75">
      <c r="AT78" s="140">
        <f t="shared" si="85"/>
        <v>382678.9</v>
      </c>
      <c r="BD78" s="140">
        <f t="shared" si="89"/>
        <v>3872.24920567462</v>
      </c>
      <c r="BK78" s="140">
        <f t="shared" si="90"/>
        <v>683.5080963511627</v>
      </c>
    </row>
    <row r="79" spans="46:63" ht="15.75">
      <c r="AT79" s="140">
        <f t="shared" si="85"/>
        <v>382678.9</v>
      </c>
      <c r="BD79" s="140">
        <f t="shared" si="89"/>
        <v>3872.24920567462</v>
      </c>
      <c r="BK79" s="140">
        <f t="shared" si="90"/>
        <v>683.5080963511627</v>
      </c>
    </row>
    <row r="80" spans="56:63" ht="15.75">
      <c r="BD80" s="140">
        <f t="shared" si="89"/>
        <v>3872.24920567462</v>
      </c>
      <c r="BK80" s="140">
        <f t="shared" si="90"/>
        <v>683.5080963511627</v>
      </c>
    </row>
    <row r="81" spans="56:63" ht="15.75">
      <c r="BD81" s="140">
        <f t="shared" si="89"/>
        <v>3872.24920567462</v>
      </c>
      <c r="BK81" s="140">
        <f t="shared" si="90"/>
        <v>683.5080963511627</v>
      </c>
    </row>
    <row r="82" spans="56:63" ht="15.75">
      <c r="BD82" s="140">
        <f t="shared" si="89"/>
        <v>3872.24920567462</v>
      </c>
      <c r="BK82" s="140">
        <f t="shared" si="90"/>
        <v>683.5080963511627</v>
      </c>
    </row>
    <row r="83" spans="56:63" ht="15.75">
      <c r="BD83" s="140">
        <f t="shared" si="89"/>
        <v>3872.24920567462</v>
      </c>
      <c r="BK83" s="140">
        <f t="shared" si="90"/>
        <v>683.5080963511627</v>
      </c>
    </row>
    <row r="84" spans="56:63" ht="15.75">
      <c r="BD84" s="140">
        <f t="shared" si="89"/>
        <v>3872.24920567462</v>
      </c>
      <c r="BK84" s="140">
        <f t="shared" si="90"/>
        <v>683.5080963511627</v>
      </c>
    </row>
    <row r="85" spans="56:63" ht="15.75">
      <c r="BD85" s="140">
        <f t="shared" si="89"/>
        <v>3872.24920567462</v>
      </c>
      <c r="BK85" s="140">
        <f t="shared" si="90"/>
        <v>683.5080963511627</v>
      </c>
    </row>
    <row r="86" spans="56:63" ht="15.75">
      <c r="BD86" s="140">
        <f t="shared" si="89"/>
        <v>3872.24920567462</v>
      </c>
      <c r="BK86" s="140">
        <f t="shared" si="90"/>
        <v>683.5080963511627</v>
      </c>
    </row>
    <row r="87" spans="56:63" ht="15.75">
      <c r="BD87" s="140">
        <f t="shared" si="89"/>
        <v>3872.24920567462</v>
      </c>
      <c r="BK87" s="140">
        <f t="shared" si="90"/>
        <v>683.5080963511627</v>
      </c>
    </row>
    <row r="88" spans="56:63" ht="15.75">
      <c r="BD88" s="140">
        <f t="shared" si="89"/>
        <v>3872.24920567462</v>
      </c>
      <c r="BK88" s="140">
        <f t="shared" si="90"/>
        <v>683.5080963511627</v>
      </c>
    </row>
    <row r="89" spans="56:63" ht="15.75">
      <c r="BD89" s="140">
        <f t="shared" si="89"/>
        <v>3872.24920567462</v>
      </c>
      <c r="BK89" s="140">
        <f t="shared" si="90"/>
        <v>683.5080963511627</v>
      </c>
    </row>
    <row r="90" spans="56:63" ht="15.75">
      <c r="BD90" s="140">
        <f t="shared" si="89"/>
        <v>3872.24920567462</v>
      </c>
      <c r="BK90" s="140">
        <f t="shared" si="90"/>
        <v>683.5080963511627</v>
      </c>
    </row>
    <row r="91" ht="15.75">
      <c r="BK91" s="140">
        <f t="shared" si="90"/>
        <v>683.5080963511627</v>
      </c>
    </row>
    <row r="92" ht="15.75">
      <c r="BK92" s="140">
        <f t="shared" si="90"/>
        <v>683.5080963511627</v>
      </c>
    </row>
    <row r="93" ht="15.75">
      <c r="BK93" s="140">
        <f t="shared" si="90"/>
        <v>683.5080963511627</v>
      </c>
    </row>
    <row r="94" ht="15.75">
      <c r="BK94" s="140">
        <f t="shared" si="90"/>
        <v>683.5080963511627</v>
      </c>
    </row>
    <row r="95" ht="15.75">
      <c r="BK95" s="140">
        <f t="shared" si="90"/>
        <v>683.5080963511627</v>
      </c>
    </row>
    <row r="96" ht="15.75">
      <c r="BK96" s="140">
        <f t="shared" si="90"/>
        <v>683.5080963511627</v>
      </c>
    </row>
    <row r="97" ht="15.75">
      <c r="BK97" s="140">
        <f t="shared" si="90"/>
        <v>683.5080963511627</v>
      </c>
    </row>
    <row r="98" ht="15.75">
      <c r="BK98" s="140">
        <f t="shared" si="90"/>
        <v>683.5080963511627</v>
      </c>
    </row>
    <row r="99" ht="15.75">
      <c r="BK99" s="140">
        <f t="shared" si="90"/>
        <v>683.5080963511627</v>
      </c>
    </row>
  </sheetData>
  <sheetProtection/>
  <mergeCells count="185">
    <mergeCell ref="DT4:DU6"/>
    <mergeCell ref="DT7:DU7"/>
    <mergeCell ref="EN4:EO6"/>
    <mergeCell ref="EN7:EO7"/>
    <mergeCell ref="DY4:EA6"/>
    <mergeCell ref="DY7:EA7"/>
    <mergeCell ref="EH7:EJ7"/>
    <mergeCell ref="EE4:EG6"/>
    <mergeCell ref="EE7:EG7"/>
    <mergeCell ref="EH4:EJ6"/>
    <mergeCell ref="BA8:BA9"/>
    <mergeCell ref="AP8:AP9"/>
    <mergeCell ref="AS8:AS9"/>
    <mergeCell ref="DR4:DS6"/>
    <mergeCell ref="DR7:DS7"/>
    <mergeCell ref="BC8:BC9"/>
    <mergeCell ref="AX4:BB6"/>
    <mergeCell ref="AX7:BB7"/>
    <mergeCell ref="AT8:AT9"/>
    <mergeCell ref="BL8:BL9"/>
    <mergeCell ref="EN8:EN9"/>
    <mergeCell ref="EO8:EO9"/>
    <mergeCell ref="CR8:CS8"/>
    <mergeCell ref="BJ4:BM6"/>
    <mergeCell ref="BJ7:BM7"/>
    <mergeCell ref="BS4:BU6"/>
    <mergeCell ref="BV4:BW6"/>
    <mergeCell ref="BR8:BR9"/>
    <mergeCell ref="BQ8:BQ9"/>
    <mergeCell ref="BP8:BP9"/>
    <mergeCell ref="AN8:AN9"/>
    <mergeCell ref="AQ8:AQ9"/>
    <mergeCell ref="AU8:AU9"/>
    <mergeCell ref="BV7:BW7"/>
    <mergeCell ref="BW8:BW9"/>
    <mergeCell ref="BN8:BN9"/>
    <mergeCell ref="BK8:BK9"/>
    <mergeCell ref="BO8:BO9"/>
    <mergeCell ref="BU8:BU9"/>
    <mergeCell ref="BV8:BV9"/>
    <mergeCell ref="BN4:BR6"/>
    <mergeCell ref="BN7:BR7"/>
    <mergeCell ref="BC7:BF7"/>
    <mergeCell ref="AE7:AI7"/>
    <mergeCell ref="AN7:AQ7"/>
    <mergeCell ref="AT7:AW7"/>
    <mergeCell ref="AJ4:AM6"/>
    <mergeCell ref="AJ7:AM7"/>
    <mergeCell ref="AN4:AQ6"/>
    <mergeCell ref="AT4:AW6"/>
    <mergeCell ref="AH8:AH9"/>
    <mergeCell ref="E8:E9"/>
    <mergeCell ref="F8:F9"/>
    <mergeCell ref="C4:D6"/>
    <mergeCell ref="E4:F6"/>
    <mergeCell ref="C8:C9"/>
    <mergeCell ref="D8:D9"/>
    <mergeCell ref="C7:D7"/>
    <mergeCell ref="E7:F7"/>
    <mergeCell ref="AA4:AD6"/>
    <mergeCell ref="S4:V6"/>
    <mergeCell ref="BC4:BF6"/>
    <mergeCell ref="S7:V7"/>
    <mergeCell ref="AA7:AD7"/>
    <mergeCell ref="W4:Z6"/>
    <mergeCell ref="W7:Z7"/>
    <mergeCell ref="AE4:AI6"/>
    <mergeCell ref="AF8:AF9"/>
    <mergeCell ref="EP4:ES7"/>
    <mergeCell ref="EP8:EP9"/>
    <mergeCell ref="EQ8:EQ9"/>
    <mergeCell ref="ES8:ES9"/>
    <mergeCell ref="ER8:ER9"/>
    <mergeCell ref="BE8:BE9"/>
    <mergeCell ref="AV8:AV9"/>
    <mergeCell ref="AX8:AX9"/>
    <mergeCell ref="BD8:BD9"/>
    <mergeCell ref="S8:S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A4:A9"/>
    <mergeCell ref="B4:B9"/>
    <mergeCell ref="K4:N6"/>
    <mergeCell ref="O4:R6"/>
    <mergeCell ref="K7:N7"/>
    <mergeCell ref="R8:R9"/>
    <mergeCell ref="G4:J6"/>
    <mergeCell ref="O7:R7"/>
    <mergeCell ref="O8:O9"/>
    <mergeCell ref="G7:J7"/>
    <mergeCell ref="AB8:AB9"/>
    <mergeCell ref="AA8:AA9"/>
    <mergeCell ref="T8:T9"/>
    <mergeCell ref="U8:U9"/>
    <mergeCell ref="V8:V9"/>
    <mergeCell ref="Z8:Z9"/>
    <mergeCell ref="Y8:Y9"/>
    <mergeCell ref="X8:X9"/>
    <mergeCell ref="W8:W9"/>
    <mergeCell ref="G8:G9"/>
    <mergeCell ref="H8:H9"/>
    <mergeCell ref="I8:I9"/>
    <mergeCell ref="P8:P9"/>
    <mergeCell ref="Q8:Q9"/>
    <mergeCell ref="J8:J9"/>
    <mergeCell ref="L8:L9"/>
    <mergeCell ref="M8:M9"/>
    <mergeCell ref="N8:N9"/>
    <mergeCell ref="K8:K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X8:DX9"/>
    <mergeCell ref="DV4:DX6"/>
    <mergeCell ref="DV7:DX7"/>
    <mergeCell ref="DV8:DV9"/>
    <mergeCell ref="DW8:DW9"/>
    <mergeCell ref="CV8:CW8"/>
    <mergeCell ref="CX8:CY8"/>
    <mergeCell ref="CZ8:DA8"/>
    <mergeCell ref="DP8:DP9"/>
    <mergeCell ref="EG8:EG9"/>
    <mergeCell ref="EC8:EC9"/>
    <mergeCell ref="EF8:EF9"/>
    <mergeCell ref="ED8:ED9"/>
    <mergeCell ref="EB4:ED6"/>
    <mergeCell ref="EB7:ED7"/>
    <mergeCell ref="EB8:EB9"/>
    <mergeCell ref="EE8:EE9"/>
    <mergeCell ref="EM8:EM9"/>
    <mergeCell ref="EK4:EM6"/>
    <mergeCell ref="EK7:EM7"/>
    <mergeCell ref="EK8:EK9"/>
    <mergeCell ref="EL8:EL9"/>
    <mergeCell ref="EJ8:EJ9"/>
    <mergeCell ref="DR8:DR9"/>
    <mergeCell ref="DT8:DT9"/>
    <mergeCell ref="EH8:EH9"/>
    <mergeCell ref="EI8:EI9"/>
    <mergeCell ref="DS8:DS9"/>
    <mergeCell ref="DU8:DU9"/>
    <mergeCell ref="DZ8:DZ9"/>
    <mergeCell ref="EA8:EA9"/>
    <mergeCell ref="DY8:DY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8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6" man="1"/>
    <brk id="14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J37" sqref="J37"/>
    </sheetView>
  </sheetViews>
  <sheetFormatPr defaultColWidth="9.00390625" defaultRowHeight="12.75"/>
  <cols>
    <col min="1" max="1" width="5.25390625" style="0" customWidth="1"/>
    <col min="2" max="2" width="20.875" style="0" customWidth="1"/>
    <col min="3" max="3" width="0.12890625" style="338" hidden="1" customWidth="1"/>
    <col min="4" max="4" width="11.375" style="338" hidden="1" customWidth="1"/>
    <col min="5" max="5" width="12.25390625" style="338" customWidth="1"/>
    <col min="6" max="6" width="12.375" style="0" customWidth="1"/>
    <col min="7" max="7" width="12.25390625" style="0" customWidth="1"/>
  </cols>
  <sheetData>
    <row r="1" spans="1:7" ht="60" customHeight="1">
      <c r="A1" s="328" t="s">
        <v>1</v>
      </c>
      <c r="B1" s="328" t="s">
        <v>2</v>
      </c>
      <c r="C1" s="328" t="s">
        <v>163</v>
      </c>
      <c r="D1" s="328" t="s">
        <v>164</v>
      </c>
      <c r="E1" s="328" t="s">
        <v>169</v>
      </c>
      <c r="F1" s="328" t="s">
        <v>285</v>
      </c>
      <c r="G1" s="328" t="s">
        <v>165</v>
      </c>
    </row>
    <row r="2" spans="1:7" ht="12.75" customHeight="1">
      <c r="A2" s="329">
        <v>1</v>
      </c>
      <c r="B2" s="329" t="s">
        <v>115</v>
      </c>
      <c r="C2" s="330">
        <v>17</v>
      </c>
      <c r="D2" s="331">
        <v>16</v>
      </c>
      <c r="E2" s="331">
        <v>17</v>
      </c>
      <c r="F2" s="1023">
        <v>22</v>
      </c>
      <c r="G2" s="1024">
        <f aca="true" t="shared" si="0" ref="G2:G25">E2-F2</f>
        <v>-5</v>
      </c>
    </row>
    <row r="3" spans="1:7" ht="12.75" customHeight="1">
      <c r="A3" s="329">
        <f aca="true" t="shared" si="1" ref="A3:A25">A2+1</f>
        <v>2</v>
      </c>
      <c r="B3" s="332" t="s">
        <v>118</v>
      </c>
      <c r="C3" s="330">
        <v>2</v>
      </c>
      <c r="D3" s="331">
        <v>10</v>
      </c>
      <c r="E3" s="331">
        <v>21</v>
      </c>
      <c r="F3" s="1023">
        <v>12</v>
      </c>
      <c r="G3" s="1024">
        <f t="shared" si="0"/>
        <v>9</v>
      </c>
    </row>
    <row r="4" spans="1:7" ht="12.75" customHeight="1">
      <c r="A4" s="329">
        <f t="shared" si="1"/>
        <v>3</v>
      </c>
      <c r="B4" s="332" t="s">
        <v>120</v>
      </c>
      <c r="C4" s="330">
        <v>11</v>
      </c>
      <c r="D4" s="331">
        <v>21</v>
      </c>
      <c r="E4" s="331">
        <v>19</v>
      </c>
      <c r="F4" s="1023">
        <v>13</v>
      </c>
      <c r="G4" s="1024">
        <f t="shared" si="0"/>
        <v>6</v>
      </c>
    </row>
    <row r="5" spans="1:7" ht="12.75" customHeight="1">
      <c r="A5" s="329">
        <f t="shared" si="1"/>
        <v>4</v>
      </c>
      <c r="B5" s="332" t="s">
        <v>121</v>
      </c>
      <c r="C5" s="330">
        <v>4</v>
      </c>
      <c r="D5" s="331">
        <v>4</v>
      </c>
      <c r="E5" s="331">
        <v>2</v>
      </c>
      <c r="F5" s="1023">
        <v>7</v>
      </c>
      <c r="G5" s="1024">
        <f t="shared" si="0"/>
        <v>-5</v>
      </c>
    </row>
    <row r="6" spans="1:7" ht="12.75" customHeight="1">
      <c r="A6" s="329">
        <f t="shared" si="1"/>
        <v>5</v>
      </c>
      <c r="B6" s="332" t="s">
        <v>122</v>
      </c>
      <c r="C6" s="330">
        <v>19</v>
      </c>
      <c r="D6" s="331">
        <v>18</v>
      </c>
      <c r="E6" s="331">
        <v>16</v>
      </c>
      <c r="F6" s="1023">
        <v>8</v>
      </c>
      <c r="G6" s="1024">
        <f t="shared" si="0"/>
        <v>8</v>
      </c>
    </row>
    <row r="7" spans="1:7" ht="12.75">
      <c r="A7" s="329">
        <f t="shared" si="1"/>
        <v>6</v>
      </c>
      <c r="B7" s="332" t="s">
        <v>123</v>
      </c>
      <c r="C7" s="330">
        <v>20</v>
      </c>
      <c r="D7" s="331">
        <v>20</v>
      </c>
      <c r="E7" s="331">
        <v>14</v>
      </c>
      <c r="F7" s="1023">
        <v>20</v>
      </c>
      <c r="G7" s="1024">
        <f t="shared" si="0"/>
        <v>-6</v>
      </c>
    </row>
    <row r="8" spans="1:7" ht="12.75">
      <c r="A8" s="329">
        <f t="shared" si="1"/>
        <v>7</v>
      </c>
      <c r="B8" s="332" t="s">
        <v>124</v>
      </c>
      <c r="C8" s="330">
        <v>9</v>
      </c>
      <c r="D8" s="331">
        <v>1</v>
      </c>
      <c r="E8" s="331">
        <v>8</v>
      </c>
      <c r="F8" s="1023">
        <v>19</v>
      </c>
      <c r="G8" s="1024">
        <f t="shared" si="0"/>
        <v>-11</v>
      </c>
    </row>
    <row r="9" spans="1:7" ht="12.75">
      <c r="A9" s="329">
        <f t="shared" si="1"/>
        <v>8</v>
      </c>
      <c r="B9" s="332" t="s">
        <v>125</v>
      </c>
      <c r="C9" s="330">
        <v>24</v>
      </c>
      <c r="D9" s="331">
        <v>22</v>
      </c>
      <c r="E9" s="331">
        <v>23</v>
      </c>
      <c r="F9" s="1023">
        <v>10</v>
      </c>
      <c r="G9" s="1024">
        <f t="shared" si="0"/>
        <v>13</v>
      </c>
    </row>
    <row r="10" spans="1:7" ht="12.75">
      <c r="A10" s="329">
        <f t="shared" si="1"/>
        <v>9</v>
      </c>
      <c r="B10" s="332" t="s">
        <v>126</v>
      </c>
      <c r="C10" s="330">
        <v>15</v>
      </c>
      <c r="D10" s="331">
        <v>14</v>
      </c>
      <c r="E10" s="331">
        <v>6</v>
      </c>
      <c r="F10" s="1023">
        <v>1</v>
      </c>
      <c r="G10" s="1024">
        <f t="shared" si="0"/>
        <v>5</v>
      </c>
    </row>
    <row r="11" spans="1:7" ht="12.75">
      <c r="A11" s="329">
        <f t="shared" si="1"/>
        <v>10</v>
      </c>
      <c r="B11" s="332" t="s">
        <v>127</v>
      </c>
      <c r="C11" s="330">
        <v>6</v>
      </c>
      <c r="D11" s="331">
        <v>2</v>
      </c>
      <c r="E11" s="331">
        <v>7</v>
      </c>
      <c r="F11" s="1023">
        <v>18</v>
      </c>
      <c r="G11" s="1024">
        <f t="shared" si="0"/>
        <v>-11</v>
      </c>
    </row>
    <row r="12" spans="1:7" ht="12.75">
      <c r="A12" s="329">
        <f t="shared" si="1"/>
        <v>11</v>
      </c>
      <c r="B12" s="332" t="s">
        <v>128</v>
      </c>
      <c r="C12" s="330">
        <v>21</v>
      </c>
      <c r="D12" s="331">
        <v>12</v>
      </c>
      <c r="E12" s="331">
        <v>20</v>
      </c>
      <c r="F12" s="1023">
        <v>6</v>
      </c>
      <c r="G12" s="1024">
        <f t="shared" si="0"/>
        <v>14</v>
      </c>
    </row>
    <row r="13" spans="1:7" ht="12.75">
      <c r="A13" s="329">
        <f t="shared" si="1"/>
        <v>12</v>
      </c>
      <c r="B13" s="332" t="s">
        <v>129</v>
      </c>
      <c r="C13" s="330">
        <v>10</v>
      </c>
      <c r="D13" s="331">
        <v>9</v>
      </c>
      <c r="E13" s="331">
        <v>4</v>
      </c>
      <c r="F13" s="1023">
        <v>3</v>
      </c>
      <c r="G13" s="1024">
        <f t="shared" si="0"/>
        <v>1</v>
      </c>
    </row>
    <row r="14" spans="1:7" ht="12.75">
      <c r="A14" s="329">
        <f t="shared" si="1"/>
        <v>13</v>
      </c>
      <c r="B14" s="332" t="s">
        <v>130</v>
      </c>
      <c r="C14" s="330">
        <v>14</v>
      </c>
      <c r="D14" s="331">
        <v>5</v>
      </c>
      <c r="E14" s="331">
        <v>15</v>
      </c>
      <c r="F14" s="1023">
        <v>4</v>
      </c>
      <c r="G14" s="1024">
        <f t="shared" si="0"/>
        <v>11</v>
      </c>
    </row>
    <row r="15" spans="1:7" ht="12.75">
      <c r="A15" s="329">
        <f t="shared" si="1"/>
        <v>14</v>
      </c>
      <c r="B15" s="332" t="s">
        <v>131</v>
      </c>
      <c r="C15" s="330">
        <v>16</v>
      </c>
      <c r="D15" s="331">
        <v>24</v>
      </c>
      <c r="E15" s="331">
        <v>13</v>
      </c>
      <c r="F15" s="1023">
        <v>5</v>
      </c>
      <c r="G15" s="1024">
        <f t="shared" si="0"/>
        <v>8</v>
      </c>
    </row>
    <row r="16" spans="1:7" ht="12.75">
      <c r="A16" s="329">
        <f t="shared" si="1"/>
        <v>15</v>
      </c>
      <c r="B16" s="332" t="s">
        <v>132</v>
      </c>
      <c r="C16" s="330">
        <v>8</v>
      </c>
      <c r="D16" s="331">
        <v>6</v>
      </c>
      <c r="E16" s="331">
        <v>9</v>
      </c>
      <c r="F16" s="1023">
        <v>21</v>
      </c>
      <c r="G16" s="1024">
        <f t="shared" si="0"/>
        <v>-12</v>
      </c>
    </row>
    <row r="17" spans="1:7" ht="12.75">
      <c r="A17" s="329">
        <f t="shared" si="1"/>
        <v>16</v>
      </c>
      <c r="B17" s="332" t="s">
        <v>133</v>
      </c>
      <c r="C17" s="330">
        <v>1</v>
      </c>
      <c r="D17" s="331">
        <v>17</v>
      </c>
      <c r="E17" s="331">
        <v>10</v>
      </c>
      <c r="F17" s="1023">
        <v>1</v>
      </c>
      <c r="G17" s="1024">
        <f t="shared" si="0"/>
        <v>9</v>
      </c>
    </row>
    <row r="18" spans="1:7" ht="12.75">
      <c r="A18" s="329">
        <f t="shared" si="1"/>
        <v>17</v>
      </c>
      <c r="B18" s="332" t="s">
        <v>134</v>
      </c>
      <c r="C18" s="330">
        <v>22</v>
      </c>
      <c r="D18" s="331">
        <v>19</v>
      </c>
      <c r="E18" s="331">
        <v>22</v>
      </c>
      <c r="F18" s="1023">
        <v>14</v>
      </c>
      <c r="G18" s="1024">
        <f t="shared" si="0"/>
        <v>8</v>
      </c>
    </row>
    <row r="19" spans="1:7" ht="12.75">
      <c r="A19" s="329">
        <f t="shared" si="1"/>
        <v>18</v>
      </c>
      <c r="B19" s="332" t="s">
        <v>135</v>
      </c>
      <c r="C19" s="330">
        <v>23</v>
      </c>
      <c r="D19" s="331">
        <v>23</v>
      </c>
      <c r="E19" s="331">
        <v>24</v>
      </c>
      <c r="F19" s="1023">
        <v>17</v>
      </c>
      <c r="G19" s="1024">
        <f t="shared" si="0"/>
        <v>7</v>
      </c>
    </row>
    <row r="20" spans="1:7" ht="12.75">
      <c r="A20" s="329">
        <f t="shared" si="1"/>
        <v>19</v>
      </c>
      <c r="B20" s="332" t="s">
        <v>136</v>
      </c>
      <c r="C20" s="330">
        <v>5</v>
      </c>
      <c r="D20" s="331">
        <v>3</v>
      </c>
      <c r="E20" s="331">
        <v>11</v>
      </c>
      <c r="F20" s="1023">
        <v>15</v>
      </c>
      <c r="G20" s="1024">
        <f t="shared" si="0"/>
        <v>-4</v>
      </c>
    </row>
    <row r="21" spans="1:7" ht="12.75">
      <c r="A21" s="329">
        <f t="shared" si="1"/>
        <v>20</v>
      </c>
      <c r="B21" s="332" t="s">
        <v>137</v>
      </c>
      <c r="C21" s="330">
        <v>12</v>
      </c>
      <c r="D21" s="331">
        <v>11</v>
      </c>
      <c r="E21" s="331">
        <v>1</v>
      </c>
      <c r="F21" s="1023">
        <v>11</v>
      </c>
      <c r="G21" s="1024">
        <f t="shared" si="0"/>
        <v>-10</v>
      </c>
    </row>
    <row r="22" spans="1:7" ht="12.75">
      <c r="A22" s="329">
        <f t="shared" si="1"/>
        <v>21</v>
      </c>
      <c r="B22" s="332" t="s">
        <v>138</v>
      </c>
      <c r="C22" s="330">
        <v>7</v>
      </c>
      <c r="D22" s="331">
        <v>15</v>
      </c>
      <c r="E22" s="331">
        <v>5</v>
      </c>
      <c r="F22" s="1023">
        <v>2</v>
      </c>
      <c r="G22" s="1024">
        <f t="shared" si="0"/>
        <v>3</v>
      </c>
    </row>
    <row r="23" spans="1:7" ht="12.75">
      <c r="A23" s="329">
        <f t="shared" si="1"/>
        <v>22</v>
      </c>
      <c r="B23" s="332" t="s">
        <v>139</v>
      </c>
      <c r="C23" s="330">
        <v>18</v>
      </c>
      <c r="D23" s="331">
        <v>13</v>
      </c>
      <c r="E23" s="331">
        <v>18</v>
      </c>
      <c r="F23" s="1023">
        <v>16</v>
      </c>
      <c r="G23" s="1024">
        <f t="shared" si="0"/>
        <v>2</v>
      </c>
    </row>
    <row r="24" spans="1:7" ht="12.75">
      <c r="A24" s="329">
        <f t="shared" si="1"/>
        <v>23</v>
      </c>
      <c r="B24" s="332" t="s">
        <v>140</v>
      </c>
      <c r="C24" s="330">
        <v>13</v>
      </c>
      <c r="D24" s="331">
        <v>8</v>
      </c>
      <c r="E24" s="331">
        <v>12</v>
      </c>
      <c r="F24" s="1023">
        <v>9</v>
      </c>
      <c r="G24" s="1024">
        <f t="shared" si="0"/>
        <v>3</v>
      </c>
    </row>
    <row r="25" spans="1:7" ht="12.75">
      <c r="A25" s="329">
        <f t="shared" si="1"/>
        <v>24</v>
      </c>
      <c r="B25" s="332" t="s">
        <v>141</v>
      </c>
      <c r="C25" s="330">
        <v>3</v>
      </c>
      <c r="D25" s="331">
        <v>7</v>
      </c>
      <c r="E25" s="331">
        <v>3</v>
      </c>
      <c r="F25" s="1023">
        <v>2</v>
      </c>
      <c r="G25" s="1024">
        <f t="shared" si="0"/>
        <v>1</v>
      </c>
    </row>
    <row r="26" spans="1:7" ht="12.75">
      <c r="A26" s="333"/>
      <c r="B26" s="334" t="s">
        <v>105</v>
      </c>
      <c r="C26" s="335" t="s">
        <v>166</v>
      </c>
      <c r="D26" s="336" t="s">
        <v>166</v>
      </c>
      <c r="E26" s="678" t="s">
        <v>166</v>
      </c>
      <c r="F26" s="337" t="s">
        <v>166</v>
      </c>
      <c r="G26" s="337" t="s">
        <v>166</v>
      </c>
    </row>
    <row r="32" ht="12.75">
      <c r="F32" s="3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9.125" style="340" customWidth="1"/>
    <col min="2" max="2" width="16.125" style="340" customWidth="1"/>
    <col min="3" max="3" width="9.125" style="340" customWidth="1"/>
    <col min="4" max="4" width="9.875" style="340" customWidth="1"/>
    <col min="5" max="5" width="13.125" style="340" customWidth="1"/>
    <col min="6" max="6" width="13.125" style="340" hidden="1" customWidth="1"/>
    <col min="7" max="9" width="0" style="341" hidden="1" customWidth="1"/>
    <col min="10" max="10" width="10.25390625" style="341" hidden="1" customWidth="1"/>
    <col min="11" max="11" width="0" style="341" hidden="1" customWidth="1"/>
    <col min="12" max="12" width="12.625" style="341" hidden="1" customWidth="1"/>
    <col min="13" max="13" width="0" style="340" hidden="1" customWidth="1"/>
    <col min="14" max="14" width="8.25390625" style="340" customWidth="1"/>
    <col min="15" max="15" width="3.125" style="340" hidden="1" customWidth="1"/>
    <col min="16" max="19" width="9.125" style="340" hidden="1" customWidth="1"/>
    <col min="20" max="16384" width="9.125" style="340" customWidth="1"/>
  </cols>
  <sheetData>
    <row r="1" ht="13.5" thickBot="1"/>
    <row r="2" spans="1:10" ht="12.75" customHeight="1" thickTop="1">
      <c r="A2" s="943" t="s">
        <v>1</v>
      </c>
      <c r="B2" s="946" t="s">
        <v>167</v>
      </c>
      <c r="C2" s="946" t="s">
        <v>286</v>
      </c>
      <c r="D2" s="946"/>
      <c r="E2" s="951"/>
      <c r="F2" s="342"/>
      <c r="H2" s="902" t="s">
        <v>168</v>
      </c>
      <c r="I2" s="903"/>
      <c r="J2" s="904"/>
    </row>
    <row r="3" spans="1:10" ht="7.5" customHeight="1">
      <c r="A3" s="944"/>
      <c r="B3" s="947"/>
      <c r="C3" s="947"/>
      <c r="D3" s="947"/>
      <c r="E3" s="949"/>
      <c r="F3" s="342"/>
      <c r="H3" s="905"/>
      <c r="I3" s="906"/>
      <c r="J3" s="907"/>
    </row>
    <row r="4" spans="1:10" ht="12.75" hidden="1">
      <c r="A4" s="944"/>
      <c r="B4" s="947"/>
      <c r="C4" s="947"/>
      <c r="D4" s="947"/>
      <c r="E4" s="949"/>
      <c r="F4" s="342"/>
      <c r="H4" s="905"/>
      <c r="I4" s="906"/>
      <c r="J4" s="907"/>
    </row>
    <row r="5" spans="1:10" ht="9.75" customHeight="1">
      <c r="A5" s="944"/>
      <c r="B5" s="947"/>
      <c r="C5" s="947"/>
      <c r="D5" s="947"/>
      <c r="E5" s="949"/>
      <c r="F5" s="342"/>
      <c r="H5" s="908"/>
      <c r="I5" s="909"/>
      <c r="J5" s="910"/>
    </row>
    <row r="6" spans="1:10" ht="12.75" customHeight="1">
      <c r="A6" s="944"/>
      <c r="B6" s="947"/>
      <c r="C6" s="947" t="s">
        <v>107</v>
      </c>
      <c r="D6" s="947" t="s">
        <v>108</v>
      </c>
      <c r="E6" s="949" t="s">
        <v>110</v>
      </c>
      <c r="F6" s="342"/>
      <c r="H6" s="911" t="s">
        <v>107</v>
      </c>
      <c r="I6" s="913" t="s">
        <v>108</v>
      </c>
      <c r="J6" s="915" t="s">
        <v>110</v>
      </c>
    </row>
    <row r="7" spans="1:12" ht="57.75" customHeight="1" thickBot="1">
      <c r="A7" s="945"/>
      <c r="B7" s="948"/>
      <c r="C7" s="948"/>
      <c r="D7" s="948"/>
      <c r="E7" s="950"/>
      <c r="F7" s="342"/>
      <c r="H7" s="912"/>
      <c r="I7" s="914"/>
      <c r="J7" s="916"/>
      <c r="L7" s="343" t="s">
        <v>165</v>
      </c>
    </row>
    <row r="8" spans="1:19" ht="13.5" thickTop="1">
      <c r="A8" s="767">
        <f aca="true" t="shared" si="0" ref="A8:A31">A7+1</f>
        <v>1</v>
      </c>
      <c r="B8" s="768" t="s">
        <v>115</v>
      </c>
      <c r="C8" s="752">
        <v>13.99241799832264</v>
      </c>
      <c r="D8" s="750">
        <v>22</v>
      </c>
      <c r="E8" s="756" t="s">
        <v>116</v>
      </c>
      <c r="F8" s="349">
        <v>2</v>
      </c>
      <c r="H8" s="350">
        <v>15.11477599080572</v>
      </c>
      <c r="I8" s="351">
        <v>17</v>
      </c>
      <c r="J8" s="352" t="s">
        <v>117</v>
      </c>
      <c r="K8" s="341">
        <v>2</v>
      </c>
      <c r="L8" s="353">
        <f aca="true" t="shared" si="1" ref="L8:L31">K8-F8</f>
        <v>0</v>
      </c>
      <c r="O8" s="431">
        <v>20.3009034855816</v>
      </c>
      <c r="P8" s="340">
        <v>17</v>
      </c>
      <c r="Q8" s="340" t="s">
        <v>116</v>
      </c>
      <c r="R8" s="431">
        <f>C8-O8</f>
        <v>-6.3084854872589595</v>
      </c>
      <c r="S8" s="432">
        <f>D8-P8</f>
        <v>5</v>
      </c>
    </row>
    <row r="9" spans="1:19" ht="12.75">
      <c r="A9" s="760">
        <f t="shared" si="0"/>
        <v>2</v>
      </c>
      <c r="B9" s="761" t="s">
        <v>118</v>
      </c>
      <c r="C9" s="753">
        <v>16.182251075872436</v>
      </c>
      <c r="D9" s="751">
        <v>12</v>
      </c>
      <c r="E9" s="757" t="s">
        <v>116</v>
      </c>
      <c r="F9" s="349">
        <v>1</v>
      </c>
      <c r="H9" s="350">
        <v>19.216968118630124</v>
      </c>
      <c r="I9" s="357">
        <v>2</v>
      </c>
      <c r="J9" s="352" t="s">
        <v>119</v>
      </c>
      <c r="K9" s="341">
        <v>1</v>
      </c>
      <c r="L9" s="353">
        <f t="shared" si="1"/>
        <v>0</v>
      </c>
      <c r="O9" s="431">
        <v>20.94788285343631</v>
      </c>
      <c r="P9" s="340">
        <v>21</v>
      </c>
      <c r="Q9" s="340" t="s">
        <v>116</v>
      </c>
      <c r="R9" s="431">
        <f aca="true" t="shared" si="2" ref="R9:R31">C9-O9</f>
        <v>-4.7656317775638755</v>
      </c>
      <c r="S9" s="432">
        <f aca="true" t="shared" si="3" ref="S9:S31">D9-P9</f>
        <v>-9</v>
      </c>
    </row>
    <row r="10" spans="1:19" ht="12.75">
      <c r="A10" s="760">
        <f t="shared" si="0"/>
        <v>3</v>
      </c>
      <c r="B10" s="761" t="s">
        <v>120</v>
      </c>
      <c r="C10" s="754">
        <v>16.18014248977762</v>
      </c>
      <c r="D10" s="751">
        <v>13</v>
      </c>
      <c r="E10" s="758" t="s">
        <v>117</v>
      </c>
      <c r="F10" s="349">
        <v>3</v>
      </c>
      <c r="H10" s="350">
        <v>16.66699625948595</v>
      </c>
      <c r="I10" s="357">
        <v>11</v>
      </c>
      <c r="J10" s="352" t="s">
        <v>117</v>
      </c>
      <c r="K10" s="341">
        <v>2</v>
      </c>
      <c r="L10" s="353">
        <f t="shared" si="1"/>
        <v>-1</v>
      </c>
      <c r="O10" s="431">
        <v>22.89823777907702</v>
      </c>
      <c r="P10" s="340">
        <v>19</v>
      </c>
      <c r="Q10" s="340" t="s">
        <v>116</v>
      </c>
      <c r="R10" s="431">
        <f t="shared" si="2"/>
        <v>-6.718095289299402</v>
      </c>
      <c r="S10" s="432">
        <f t="shared" si="3"/>
        <v>-6</v>
      </c>
    </row>
    <row r="11" spans="1:19" ht="12.75">
      <c r="A11" s="760">
        <f t="shared" si="0"/>
        <v>4</v>
      </c>
      <c r="B11" s="761" t="s">
        <v>121</v>
      </c>
      <c r="C11" s="754">
        <v>17.305603604563466</v>
      </c>
      <c r="D11" s="751">
        <v>7</v>
      </c>
      <c r="E11" s="758" t="s">
        <v>117</v>
      </c>
      <c r="F11" s="349">
        <v>2</v>
      </c>
      <c r="H11" s="350">
        <v>18.577205636078727</v>
      </c>
      <c r="I11" s="357">
        <v>4</v>
      </c>
      <c r="J11" s="352" t="s">
        <v>117</v>
      </c>
      <c r="K11" s="341">
        <v>2</v>
      </c>
      <c r="L11" s="353">
        <f t="shared" si="1"/>
        <v>0</v>
      </c>
      <c r="O11" s="431">
        <v>23.68286464453358</v>
      </c>
      <c r="P11" s="340">
        <v>2</v>
      </c>
      <c r="Q11" s="340" t="s">
        <v>119</v>
      </c>
      <c r="R11" s="431">
        <f t="shared" si="2"/>
        <v>-6.377261039970115</v>
      </c>
      <c r="S11" s="432">
        <f t="shared" si="3"/>
        <v>5</v>
      </c>
    </row>
    <row r="12" spans="1:19" ht="12.75">
      <c r="A12" s="760">
        <f t="shared" si="0"/>
        <v>5</v>
      </c>
      <c r="B12" s="761" t="s">
        <v>122</v>
      </c>
      <c r="C12" s="754">
        <v>17.292307988657782</v>
      </c>
      <c r="D12" s="751">
        <v>8</v>
      </c>
      <c r="E12" s="758" t="s">
        <v>117</v>
      </c>
      <c r="F12" s="349">
        <v>2</v>
      </c>
      <c r="H12" s="350">
        <v>14.589961685557011</v>
      </c>
      <c r="I12" s="357">
        <v>19</v>
      </c>
      <c r="J12" s="352" t="s">
        <v>116</v>
      </c>
      <c r="K12" s="341">
        <v>3</v>
      </c>
      <c r="L12" s="353">
        <f t="shared" si="1"/>
        <v>1</v>
      </c>
      <c r="O12" s="431">
        <v>20.727964560599766</v>
      </c>
      <c r="P12" s="340">
        <v>16</v>
      </c>
      <c r="Q12" s="340" t="s">
        <v>117</v>
      </c>
      <c r="R12" s="431">
        <f t="shared" si="2"/>
        <v>-3.4356565719419834</v>
      </c>
      <c r="S12" s="432">
        <f t="shared" si="3"/>
        <v>-8</v>
      </c>
    </row>
    <row r="13" spans="1:19" ht="12.75">
      <c r="A13" s="760">
        <f t="shared" si="0"/>
        <v>6</v>
      </c>
      <c r="B13" s="761" t="s">
        <v>123</v>
      </c>
      <c r="C13" s="754">
        <v>14.675751201765692</v>
      </c>
      <c r="D13" s="751">
        <v>20</v>
      </c>
      <c r="E13" s="757" t="s">
        <v>116</v>
      </c>
      <c r="F13" s="349">
        <v>3</v>
      </c>
      <c r="H13" s="350">
        <v>13.911850038211375</v>
      </c>
      <c r="I13" s="357">
        <v>20</v>
      </c>
      <c r="J13" s="352" t="s">
        <v>116</v>
      </c>
      <c r="K13" s="341">
        <v>3</v>
      </c>
      <c r="L13" s="353">
        <f t="shared" si="1"/>
        <v>0</v>
      </c>
      <c r="O13" s="431">
        <v>21.324641060239564</v>
      </c>
      <c r="P13" s="340">
        <v>14</v>
      </c>
      <c r="Q13" s="340" t="s">
        <v>117</v>
      </c>
      <c r="R13" s="431">
        <f t="shared" si="2"/>
        <v>-6.648889858473872</v>
      </c>
      <c r="S13" s="432">
        <f t="shared" si="3"/>
        <v>6</v>
      </c>
    </row>
    <row r="14" spans="1:19" ht="12.75">
      <c r="A14" s="760">
        <f t="shared" si="0"/>
        <v>7</v>
      </c>
      <c r="B14" s="761" t="s">
        <v>124</v>
      </c>
      <c r="C14" s="754">
        <v>14.980848521100674</v>
      </c>
      <c r="D14" s="751">
        <v>19</v>
      </c>
      <c r="E14" s="758" t="s">
        <v>117</v>
      </c>
      <c r="F14" s="349">
        <v>2</v>
      </c>
      <c r="H14" s="350">
        <v>16.792477621282927</v>
      </c>
      <c r="I14" s="357">
        <v>9</v>
      </c>
      <c r="J14" s="352" t="s">
        <v>117</v>
      </c>
      <c r="K14" s="341">
        <v>2</v>
      </c>
      <c r="L14" s="353">
        <f t="shared" si="1"/>
        <v>0</v>
      </c>
      <c r="O14" s="431">
        <v>22.201410392222645</v>
      </c>
      <c r="P14" s="340">
        <v>8</v>
      </c>
      <c r="Q14" s="340" t="s">
        <v>117</v>
      </c>
      <c r="R14" s="431">
        <f t="shared" si="2"/>
        <v>-7.220561871121971</v>
      </c>
      <c r="S14" s="432">
        <f t="shared" si="3"/>
        <v>11</v>
      </c>
    </row>
    <row r="15" spans="1:19" ht="12.75">
      <c r="A15" s="760">
        <f t="shared" si="0"/>
        <v>8</v>
      </c>
      <c r="B15" s="761" t="s">
        <v>125</v>
      </c>
      <c r="C15" s="753">
        <v>16.767141507242364</v>
      </c>
      <c r="D15" s="751">
        <v>10</v>
      </c>
      <c r="E15" s="757" t="s">
        <v>116</v>
      </c>
      <c r="F15" s="349">
        <v>3</v>
      </c>
      <c r="H15" s="350">
        <v>16.039992954538896</v>
      </c>
      <c r="I15" s="357">
        <v>24</v>
      </c>
      <c r="J15" s="352" t="s">
        <v>116</v>
      </c>
      <c r="K15" s="341">
        <v>3</v>
      </c>
      <c r="L15" s="353">
        <f t="shared" si="1"/>
        <v>0</v>
      </c>
      <c r="O15" s="431">
        <v>19.83964054628982</v>
      </c>
      <c r="P15" s="340">
        <v>23</v>
      </c>
      <c r="Q15" s="340" t="s">
        <v>116</v>
      </c>
      <c r="R15" s="431">
        <f t="shared" si="2"/>
        <v>-3.0724990390474574</v>
      </c>
      <c r="S15" s="432">
        <f t="shared" si="3"/>
        <v>-13</v>
      </c>
    </row>
    <row r="16" spans="1:19" ht="12.75">
      <c r="A16" s="760">
        <f t="shared" si="0"/>
        <v>9</v>
      </c>
      <c r="B16" s="761" t="s">
        <v>126</v>
      </c>
      <c r="C16" s="754">
        <v>18.035115678942546</v>
      </c>
      <c r="D16" s="751">
        <v>1</v>
      </c>
      <c r="E16" s="759" t="s">
        <v>117</v>
      </c>
      <c r="F16" s="349">
        <v>2</v>
      </c>
      <c r="H16" s="350">
        <v>15.612927435248523</v>
      </c>
      <c r="I16" s="357">
        <v>15</v>
      </c>
      <c r="J16" s="352" t="s">
        <v>117</v>
      </c>
      <c r="K16" s="341">
        <v>2</v>
      </c>
      <c r="L16" s="353">
        <f t="shared" si="1"/>
        <v>0</v>
      </c>
      <c r="O16" s="431">
        <v>22.354608989794855</v>
      </c>
      <c r="P16" s="340">
        <v>6</v>
      </c>
      <c r="Q16" s="340" t="s">
        <v>117</v>
      </c>
      <c r="R16" s="431">
        <f t="shared" si="2"/>
        <v>-4.319493310852309</v>
      </c>
      <c r="S16" s="432">
        <f t="shared" si="3"/>
        <v>-5</v>
      </c>
    </row>
    <row r="17" spans="1:19" ht="12.75">
      <c r="A17" s="760">
        <f t="shared" si="0"/>
        <v>10</v>
      </c>
      <c r="B17" s="761" t="s">
        <v>127</v>
      </c>
      <c r="C17" s="754">
        <v>15.189283735699604</v>
      </c>
      <c r="D17" s="751">
        <v>18</v>
      </c>
      <c r="E17" s="758" t="s">
        <v>117</v>
      </c>
      <c r="F17" s="349">
        <v>1</v>
      </c>
      <c r="H17" s="350">
        <v>17.413231032014913</v>
      </c>
      <c r="I17" s="357">
        <v>6</v>
      </c>
      <c r="J17" s="352" t="s">
        <v>117</v>
      </c>
      <c r="K17" s="341">
        <v>2</v>
      </c>
      <c r="L17" s="353">
        <f t="shared" si="1"/>
        <v>1</v>
      </c>
      <c r="O17" s="431">
        <v>22.28579767269808</v>
      </c>
      <c r="P17" s="340">
        <v>7</v>
      </c>
      <c r="Q17" s="340" t="s">
        <v>117</v>
      </c>
      <c r="R17" s="431">
        <f t="shared" si="2"/>
        <v>-7.096513936998477</v>
      </c>
      <c r="S17" s="432">
        <f t="shared" si="3"/>
        <v>11</v>
      </c>
    </row>
    <row r="18" spans="1:19" ht="12.75">
      <c r="A18" s="760">
        <f t="shared" si="0"/>
        <v>11</v>
      </c>
      <c r="B18" s="761" t="s">
        <v>128</v>
      </c>
      <c r="C18" s="754">
        <v>17.334396327695796</v>
      </c>
      <c r="D18" s="751">
        <v>6</v>
      </c>
      <c r="E18" s="758" t="s">
        <v>117</v>
      </c>
      <c r="F18" s="349">
        <v>3</v>
      </c>
      <c r="H18" s="350">
        <v>17.48704825386894</v>
      </c>
      <c r="I18" s="357">
        <v>21</v>
      </c>
      <c r="J18" s="352" t="s">
        <v>116</v>
      </c>
      <c r="K18" s="341">
        <v>3</v>
      </c>
      <c r="L18" s="353">
        <f t="shared" si="1"/>
        <v>0</v>
      </c>
      <c r="O18" s="431">
        <v>21.28406506910028</v>
      </c>
      <c r="P18" s="340">
        <v>20</v>
      </c>
      <c r="Q18" s="340" t="s">
        <v>116</v>
      </c>
      <c r="R18" s="431">
        <f t="shared" si="2"/>
        <v>-3.9496687414044835</v>
      </c>
      <c r="S18" s="432">
        <f t="shared" si="3"/>
        <v>-14</v>
      </c>
    </row>
    <row r="19" spans="1:19" ht="12.75">
      <c r="A19" s="760">
        <f t="shared" si="0"/>
        <v>12</v>
      </c>
      <c r="B19" s="761" t="s">
        <v>129</v>
      </c>
      <c r="C19" s="753">
        <v>17.405917296718997</v>
      </c>
      <c r="D19" s="751">
        <v>3</v>
      </c>
      <c r="E19" s="757" t="s">
        <v>116</v>
      </c>
      <c r="F19" s="349">
        <v>2</v>
      </c>
      <c r="H19" s="350">
        <v>16.71913162849819</v>
      </c>
      <c r="I19" s="357">
        <v>10</v>
      </c>
      <c r="J19" s="352" t="s">
        <v>117</v>
      </c>
      <c r="K19" s="341">
        <v>2</v>
      </c>
      <c r="L19" s="353">
        <f t="shared" si="1"/>
        <v>0</v>
      </c>
      <c r="O19" s="431">
        <v>23.200326869018454</v>
      </c>
      <c r="P19" s="340">
        <v>4</v>
      </c>
      <c r="Q19" s="340" t="s">
        <v>117</v>
      </c>
      <c r="R19" s="431">
        <f t="shared" si="2"/>
        <v>-5.7944095722994575</v>
      </c>
      <c r="S19" s="432">
        <f t="shared" si="3"/>
        <v>-1</v>
      </c>
    </row>
    <row r="20" spans="1:19" ht="12.75">
      <c r="A20" s="760">
        <f t="shared" si="0"/>
        <v>13</v>
      </c>
      <c r="B20" s="761" t="s">
        <v>130</v>
      </c>
      <c r="C20" s="754">
        <v>17.381448241790775</v>
      </c>
      <c r="D20" s="751">
        <v>4</v>
      </c>
      <c r="E20" s="758" t="s">
        <v>117</v>
      </c>
      <c r="F20" s="349">
        <v>2</v>
      </c>
      <c r="H20" s="350">
        <v>16</v>
      </c>
      <c r="I20" s="357">
        <v>14</v>
      </c>
      <c r="J20" s="352" t="s">
        <v>117</v>
      </c>
      <c r="K20" s="341">
        <v>2</v>
      </c>
      <c r="L20" s="353">
        <f t="shared" si="1"/>
        <v>0</v>
      </c>
      <c r="O20" s="431">
        <v>21.197252457964836</v>
      </c>
      <c r="P20" s="340">
        <v>15</v>
      </c>
      <c r="Q20" s="340" t="s">
        <v>117</v>
      </c>
      <c r="R20" s="431">
        <f t="shared" si="2"/>
        <v>-3.8158042161740617</v>
      </c>
      <c r="S20" s="432">
        <f t="shared" si="3"/>
        <v>-11</v>
      </c>
    </row>
    <row r="21" spans="1:19" ht="12.75">
      <c r="A21" s="760">
        <f t="shared" si="0"/>
        <v>14</v>
      </c>
      <c r="B21" s="761" t="s">
        <v>131</v>
      </c>
      <c r="C21" s="754">
        <v>17.33917252044047</v>
      </c>
      <c r="D21" s="751">
        <v>5</v>
      </c>
      <c r="E21" s="758" t="s">
        <v>117</v>
      </c>
      <c r="F21" s="349">
        <v>3</v>
      </c>
      <c r="H21" s="350">
        <v>15.471935165309432</v>
      </c>
      <c r="I21" s="357">
        <v>16</v>
      </c>
      <c r="J21" s="352" t="s">
        <v>117</v>
      </c>
      <c r="K21" s="341">
        <v>2</v>
      </c>
      <c r="L21" s="353">
        <f t="shared" si="1"/>
        <v>-1</v>
      </c>
      <c r="O21" s="431">
        <v>21.545696582639835</v>
      </c>
      <c r="P21" s="340">
        <v>13</v>
      </c>
      <c r="Q21" s="340" t="s">
        <v>117</v>
      </c>
      <c r="R21" s="431">
        <f t="shared" si="2"/>
        <v>-4.206524062199364</v>
      </c>
      <c r="S21" s="432">
        <f t="shared" si="3"/>
        <v>-8</v>
      </c>
    </row>
    <row r="22" spans="1:19" ht="12.75">
      <c r="A22" s="760">
        <f t="shared" si="0"/>
        <v>15</v>
      </c>
      <c r="B22" s="761" t="s">
        <v>132</v>
      </c>
      <c r="C22" s="754">
        <v>14.524929802732213</v>
      </c>
      <c r="D22" s="751">
        <v>21</v>
      </c>
      <c r="E22" s="758" t="s">
        <v>116</v>
      </c>
      <c r="F22" s="349">
        <v>2</v>
      </c>
      <c r="H22" s="350">
        <v>17.200371207750297</v>
      </c>
      <c r="I22" s="357">
        <v>8</v>
      </c>
      <c r="J22" s="352" t="s">
        <v>117</v>
      </c>
      <c r="K22" s="341">
        <v>2</v>
      </c>
      <c r="L22" s="353">
        <f t="shared" si="1"/>
        <v>0</v>
      </c>
      <c r="O22" s="431">
        <v>22.12619982637446</v>
      </c>
      <c r="P22" s="340">
        <v>9</v>
      </c>
      <c r="Q22" s="340" t="s">
        <v>117</v>
      </c>
      <c r="R22" s="431">
        <f t="shared" si="2"/>
        <v>-7.601270023642247</v>
      </c>
      <c r="S22" s="432">
        <f t="shared" si="3"/>
        <v>12</v>
      </c>
    </row>
    <row r="23" spans="1:19" ht="12.75">
      <c r="A23" s="760">
        <f t="shared" si="0"/>
        <v>16</v>
      </c>
      <c r="B23" s="761" t="s">
        <v>133</v>
      </c>
      <c r="C23" s="754">
        <v>18.909516345794028</v>
      </c>
      <c r="D23" s="751">
        <v>1</v>
      </c>
      <c r="E23" s="758" t="s">
        <v>119</v>
      </c>
      <c r="F23" s="349">
        <v>1</v>
      </c>
      <c r="H23" s="350">
        <v>20.181519008930454</v>
      </c>
      <c r="I23" s="357">
        <v>1</v>
      </c>
      <c r="J23" s="352" t="s">
        <v>119</v>
      </c>
      <c r="K23" s="341">
        <v>1</v>
      </c>
      <c r="L23" s="353">
        <f t="shared" si="1"/>
        <v>0</v>
      </c>
      <c r="O23" s="431">
        <v>22.003913579326042</v>
      </c>
      <c r="P23" s="340">
        <v>10</v>
      </c>
      <c r="Q23" s="340" t="s">
        <v>117</v>
      </c>
      <c r="R23" s="431">
        <f t="shared" si="2"/>
        <v>-3.094397233532014</v>
      </c>
      <c r="S23" s="432">
        <f t="shared" si="3"/>
        <v>-9</v>
      </c>
    </row>
    <row r="24" spans="1:19" ht="12.75">
      <c r="A24" s="760">
        <f t="shared" si="0"/>
        <v>17</v>
      </c>
      <c r="B24" s="761" t="s">
        <v>134</v>
      </c>
      <c r="C24" s="753">
        <v>16.115280171561817</v>
      </c>
      <c r="D24" s="751">
        <v>14</v>
      </c>
      <c r="E24" s="757" t="s">
        <v>116</v>
      </c>
      <c r="F24" s="349">
        <v>3</v>
      </c>
      <c r="H24" s="350">
        <v>17.420413067660768</v>
      </c>
      <c r="I24" s="357">
        <v>22</v>
      </c>
      <c r="J24" s="352" t="s">
        <v>116</v>
      </c>
      <c r="K24" s="341">
        <v>3</v>
      </c>
      <c r="L24" s="353">
        <f t="shared" si="1"/>
        <v>0</v>
      </c>
      <c r="O24" s="431">
        <v>20.75320703499068</v>
      </c>
      <c r="P24" s="340">
        <v>22</v>
      </c>
      <c r="Q24" s="340" t="s">
        <v>116</v>
      </c>
      <c r="R24" s="431">
        <f t="shared" si="2"/>
        <v>-4.637926863428863</v>
      </c>
      <c r="S24" s="432">
        <f t="shared" si="3"/>
        <v>-8</v>
      </c>
    </row>
    <row r="25" spans="1:19" ht="12.75">
      <c r="A25" s="760">
        <f t="shared" si="0"/>
        <v>18</v>
      </c>
      <c r="B25" s="761" t="s">
        <v>135</v>
      </c>
      <c r="C25" s="753">
        <v>15.76142283286861</v>
      </c>
      <c r="D25" s="751">
        <v>17</v>
      </c>
      <c r="E25" s="757" t="s">
        <v>116</v>
      </c>
      <c r="F25" s="349">
        <v>3</v>
      </c>
      <c r="H25" s="350">
        <v>16.41278483543683</v>
      </c>
      <c r="I25" s="357">
        <v>23</v>
      </c>
      <c r="J25" s="352" t="s">
        <v>116</v>
      </c>
      <c r="K25" s="341">
        <v>3</v>
      </c>
      <c r="L25" s="353">
        <f t="shared" si="1"/>
        <v>0</v>
      </c>
      <c r="O25" s="431">
        <v>19.740985861303372</v>
      </c>
      <c r="P25" s="340">
        <v>24</v>
      </c>
      <c r="Q25" s="340" t="s">
        <v>116</v>
      </c>
      <c r="R25" s="431">
        <f t="shared" si="2"/>
        <v>-3.9795630284347627</v>
      </c>
      <c r="S25" s="432">
        <f t="shared" si="3"/>
        <v>-7</v>
      </c>
    </row>
    <row r="26" spans="1:19" ht="12.75">
      <c r="A26" s="760">
        <f t="shared" si="0"/>
        <v>19</v>
      </c>
      <c r="B26" s="761" t="s">
        <v>136</v>
      </c>
      <c r="C26" s="754">
        <v>16.060094354432838</v>
      </c>
      <c r="D26" s="751">
        <v>15</v>
      </c>
      <c r="E26" s="758" t="s">
        <v>117</v>
      </c>
      <c r="F26" s="349">
        <v>2</v>
      </c>
      <c r="H26" s="350">
        <v>17.544931188851013</v>
      </c>
      <c r="I26" s="357">
        <v>5</v>
      </c>
      <c r="J26" s="352" t="s">
        <v>117</v>
      </c>
      <c r="K26" s="341">
        <v>2</v>
      </c>
      <c r="L26" s="353">
        <f t="shared" si="1"/>
        <v>0</v>
      </c>
      <c r="O26" s="431">
        <v>21.97765124385201</v>
      </c>
      <c r="P26" s="340">
        <v>11</v>
      </c>
      <c r="Q26" s="340" t="s">
        <v>117</v>
      </c>
      <c r="R26" s="431">
        <f t="shared" si="2"/>
        <v>-5.917556889419171</v>
      </c>
      <c r="S26" s="432">
        <f t="shared" si="3"/>
        <v>4</v>
      </c>
    </row>
    <row r="27" spans="1:19" ht="12.75">
      <c r="A27" s="760">
        <f t="shared" si="0"/>
        <v>20</v>
      </c>
      <c r="B27" s="761" t="s">
        <v>137</v>
      </c>
      <c r="C27" s="753">
        <v>16.71282122593898</v>
      </c>
      <c r="D27" s="751">
        <v>11</v>
      </c>
      <c r="E27" s="757" t="s">
        <v>116</v>
      </c>
      <c r="F27" s="349">
        <v>1</v>
      </c>
      <c r="H27" s="350">
        <v>16.610539236609007</v>
      </c>
      <c r="I27" s="357">
        <v>12</v>
      </c>
      <c r="J27" s="352" t="s">
        <v>117</v>
      </c>
      <c r="K27" s="341">
        <v>2</v>
      </c>
      <c r="L27" s="353">
        <f t="shared" si="1"/>
        <v>1</v>
      </c>
      <c r="O27" s="431">
        <v>24.399098082404016</v>
      </c>
      <c r="P27" s="340">
        <v>1</v>
      </c>
      <c r="Q27" s="340" t="s">
        <v>119</v>
      </c>
      <c r="R27" s="431">
        <f t="shared" si="2"/>
        <v>-7.686276856465035</v>
      </c>
      <c r="S27" s="432">
        <f t="shared" si="3"/>
        <v>10</v>
      </c>
    </row>
    <row r="28" spans="1:19" ht="12.75">
      <c r="A28" s="760">
        <f t="shared" si="0"/>
        <v>21</v>
      </c>
      <c r="B28" s="761" t="s">
        <v>138</v>
      </c>
      <c r="C28" s="754">
        <v>17.921007092286775</v>
      </c>
      <c r="D28" s="751">
        <v>2</v>
      </c>
      <c r="E28" s="759" t="s">
        <v>117</v>
      </c>
      <c r="F28" s="349">
        <v>2</v>
      </c>
      <c r="H28" s="350">
        <v>17.370214778151503</v>
      </c>
      <c r="I28" s="357">
        <v>7</v>
      </c>
      <c r="J28" s="352" t="s">
        <v>117</v>
      </c>
      <c r="K28" s="341">
        <v>2</v>
      </c>
      <c r="L28" s="353">
        <f t="shared" si="1"/>
        <v>0</v>
      </c>
      <c r="O28" s="431">
        <v>23.126098926315844</v>
      </c>
      <c r="P28" s="340">
        <v>5</v>
      </c>
      <c r="Q28" s="340" t="s">
        <v>117</v>
      </c>
      <c r="R28" s="431">
        <f t="shared" si="2"/>
        <v>-5.205091834029069</v>
      </c>
      <c r="S28" s="432">
        <f t="shared" si="3"/>
        <v>-3</v>
      </c>
    </row>
    <row r="29" spans="1:19" ht="12.75">
      <c r="A29" s="760">
        <f t="shared" si="0"/>
        <v>22</v>
      </c>
      <c r="B29" s="761" t="s">
        <v>139</v>
      </c>
      <c r="C29" s="754">
        <v>15.821000198845306</v>
      </c>
      <c r="D29" s="751">
        <v>16</v>
      </c>
      <c r="E29" s="758" t="s">
        <v>117</v>
      </c>
      <c r="F29" s="349">
        <v>3</v>
      </c>
      <c r="H29" s="350">
        <v>14.647494643649665</v>
      </c>
      <c r="I29" s="357">
        <v>18</v>
      </c>
      <c r="J29" s="352" t="s">
        <v>116</v>
      </c>
      <c r="K29" s="341">
        <v>3</v>
      </c>
      <c r="L29" s="353">
        <f t="shared" si="1"/>
        <v>0</v>
      </c>
      <c r="O29" s="431">
        <v>20.244699851664663</v>
      </c>
      <c r="P29" s="340">
        <v>18</v>
      </c>
      <c r="Q29" s="340" t="s">
        <v>116</v>
      </c>
      <c r="R29" s="431">
        <f t="shared" si="2"/>
        <v>-4.423699652819357</v>
      </c>
      <c r="S29" s="432">
        <f t="shared" si="3"/>
        <v>-2</v>
      </c>
    </row>
    <row r="30" spans="1:19" ht="25.5">
      <c r="A30" s="760">
        <f t="shared" si="0"/>
        <v>23</v>
      </c>
      <c r="B30" s="761" t="s">
        <v>140</v>
      </c>
      <c r="C30" s="754">
        <v>17.084446100239532</v>
      </c>
      <c r="D30" s="751">
        <v>9</v>
      </c>
      <c r="E30" s="758" t="s">
        <v>117</v>
      </c>
      <c r="F30" s="349">
        <v>2</v>
      </c>
      <c r="H30" s="350">
        <v>16.467408362119727</v>
      </c>
      <c r="I30" s="357">
        <v>13</v>
      </c>
      <c r="J30" s="352" t="s">
        <v>117</v>
      </c>
      <c r="K30" s="341">
        <v>2</v>
      </c>
      <c r="L30" s="353">
        <f t="shared" si="1"/>
        <v>0</v>
      </c>
      <c r="O30" s="431">
        <v>21.894669014050322</v>
      </c>
      <c r="P30" s="340">
        <v>12</v>
      </c>
      <c r="Q30" s="340" t="s">
        <v>117</v>
      </c>
      <c r="R30" s="431">
        <f t="shared" si="2"/>
        <v>-4.81022291381079</v>
      </c>
      <c r="S30" s="432">
        <f t="shared" si="3"/>
        <v>-3</v>
      </c>
    </row>
    <row r="31" spans="1:19" ht="12.75">
      <c r="A31" s="760">
        <f t="shared" si="0"/>
        <v>24</v>
      </c>
      <c r="B31" s="761" t="s">
        <v>141</v>
      </c>
      <c r="C31" s="754">
        <v>18.85705837932136</v>
      </c>
      <c r="D31" s="751">
        <v>2</v>
      </c>
      <c r="E31" s="758" t="s">
        <v>119</v>
      </c>
      <c r="F31" s="349">
        <v>1</v>
      </c>
      <c r="H31" s="350">
        <v>18.8</v>
      </c>
      <c r="I31" s="357">
        <v>3</v>
      </c>
      <c r="J31" s="352" t="s">
        <v>117</v>
      </c>
      <c r="K31" s="341">
        <v>2</v>
      </c>
      <c r="L31" s="353">
        <f t="shared" si="1"/>
        <v>1</v>
      </c>
      <c r="O31" s="431">
        <v>23.403887077031523</v>
      </c>
      <c r="P31" s="340">
        <v>3</v>
      </c>
      <c r="Q31" s="340" t="s">
        <v>119</v>
      </c>
      <c r="R31" s="431">
        <f t="shared" si="2"/>
        <v>-4.546828697710165</v>
      </c>
      <c r="S31" s="432">
        <f t="shared" si="3"/>
        <v>-1</v>
      </c>
    </row>
    <row r="32" spans="1:15" ht="13.5" thickBot="1">
      <c r="A32" s="762"/>
      <c r="B32" s="763" t="s">
        <v>105</v>
      </c>
      <c r="C32" s="764">
        <f>SUM(C8:C31)/24</f>
        <v>16.576223945525513</v>
      </c>
      <c r="D32" s="765" t="s">
        <v>142</v>
      </c>
      <c r="E32" s="766" t="s">
        <v>142</v>
      </c>
      <c r="F32" s="363"/>
      <c r="H32" s="364">
        <f>SUM(H8:H31)/24</f>
        <v>16.761257422862084</v>
      </c>
      <c r="I32" s="365" t="s">
        <v>142</v>
      </c>
      <c r="J32" s="366" t="s">
        <v>142</v>
      </c>
      <c r="L32" s="367" t="s">
        <v>166</v>
      </c>
      <c r="O32" s="431"/>
    </row>
    <row r="33" ht="13.5" thickTop="1"/>
  </sheetData>
  <sheetProtection/>
  <mergeCells count="10">
    <mergeCell ref="A2:A7"/>
    <mergeCell ref="B2:B7"/>
    <mergeCell ref="E6:E7"/>
    <mergeCell ref="C6:C7"/>
    <mergeCell ref="D6:D7"/>
    <mergeCell ref="C2:E5"/>
    <mergeCell ref="H2:J5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110"/>
  <sheetViews>
    <sheetView zoomScale="90" zoomScaleNormal="90" zoomScaleSheetLayoutView="70" zoomScalePageLayoutView="0" workbookViewId="0" topLeftCell="A4">
      <pane xSplit="2" ySplit="6" topLeftCell="CL10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A35" sqref="A35:IV86"/>
    </sheetView>
  </sheetViews>
  <sheetFormatPr defaultColWidth="9.00390625" defaultRowHeight="12.75"/>
  <cols>
    <col min="1" max="1" width="10.00390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3.875" style="3" customWidth="1"/>
    <col min="8" max="8" width="12.75390625" style="3" customWidth="1"/>
    <col min="9" max="9" width="16.875" style="3" customWidth="1"/>
    <col min="10" max="10" width="7.625" style="3" customWidth="1"/>
    <col min="11" max="11" width="14.375" style="3" customWidth="1"/>
    <col min="12" max="12" width="13.00390625" style="3" customWidth="1"/>
    <col min="13" max="13" width="12.75390625" style="3" customWidth="1"/>
    <col min="14" max="14" width="9.75390625" style="3" customWidth="1"/>
    <col min="15" max="15" width="14.875" style="3" customWidth="1"/>
    <col min="16" max="16" width="12.875" style="3" customWidth="1"/>
    <col min="17" max="17" width="12.625" style="3" customWidth="1"/>
    <col min="18" max="18" width="9.00390625" style="3" customWidth="1"/>
    <col min="19" max="19" width="17.125" style="3" customWidth="1"/>
    <col min="20" max="20" width="17.625" style="3" customWidth="1"/>
    <col min="21" max="21" width="13.25390625" style="3" customWidth="1"/>
    <col min="22" max="22" width="9.25390625" style="3" customWidth="1"/>
    <col min="23" max="23" width="13.875" style="3" customWidth="1"/>
    <col min="24" max="24" width="14.25390625" style="3" customWidth="1"/>
    <col min="25" max="25" width="12.25390625" style="3" customWidth="1"/>
    <col min="26" max="26" width="12.125" style="3" customWidth="1"/>
    <col min="27" max="27" width="13.875" style="3" customWidth="1"/>
    <col min="28" max="28" width="18.125" style="3" customWidth="1"/>
    <col min="29" max="29" width="15.00390625" style="3" customWidth="1"/>
    <col min="30" max="30" width="14.25390625" style="3" customWidth="1"/>
    <col min="31" max="31" width="17.125" style="3" customWidth="1"/>
    <col min="32" max="32" width="16.375" style="3" customWidth="1"/>
    <col min="33" max="33" width="19.125" style="3" customWidth="1"/>
    <col min="34" max="34" width="12.375" style="3" customWidth="1"/>
    <col min="35" max="35" width="11.25390625" style="3" customWidth="1"/>
    <col min="36" max="36" width="12.875" style="3" customWidth="1"/>
    <col min="37" max="37" width="12.00390625" style="3" customWidth="1"/>
    <col min="38" max="38" width="11.75390625" style="3" customWidth="1"/>
    <col min="39" max="39" width="9.25390625" style="3" customWidth="1"/>
    <col min="40" max="40" width="11.875" style="3" customWidth="1"/>
    <col min="41" max="41" width="14.875" style="3" customWidth="1"/>
    <col min="42" max="42" width="12.00390625" style="3" customWidth="1"/>
    <col min="43" max="43" width="10.75390625" style="3" customWidth="1"/>
    <col min="44" max="44" width="11.625" style="3" hidden="1" customWidth="1"/>
    <col min="45" max="45" width="12.375" style="3" hidden="1" customWidth="1"/>
    <col min="46" max="46" width="16.125" style="3" customWidth="1"/>
    <col min="47" max="47" width="14.75390625" style="3" customWidth="1"/>
    <col min="48" max="48" width="13.625" style="3" customWidth="1"/>
    <col min="49" max="49" width="9.75390625" style="3" bestFit="1" customWidth="1"/>
    <col min="50" max="50" width="18.25390625" style="3" customWidth="1"/>
    <col min="51" max="51" width="16.25390625" style="3" customWidth="1"/>
    <col min="52" max="52" width="18.75390625" style="3" customWidth="1"/>
    <col min="53" max="53" width="11.375" style="3" customWidth="1"/>
    <col min="54" max="54" width="10.375" style="3" customWidth="1"/>
    <col min="55" max="55" width="16.00390625" style="3" customWidth="1"/>
    <col min="56" max="56" width="14.125" style="3" customWidth="1"/>
    <col min="57" max="57" width="12.625" style="3" customWidth="1"/>
    <col min="58" max="58" width="10.75390625" style="3" customWidth="1"/>
    <col min="59" max="59" width="14.25390625" style="3" hidden="1" customWidth="1"/>
    <col min="60" max="60" width="10.625" style="3" hidden="1" customWidth="1"/>
    <col min="61" max="61" width="12.375" style="3" hidden="1" customWidth="1"/>
    <col min="62" max="62" width="16.875" style="3" customWidth="1"/>
    <col min="63" max="63" width="17.125" style="3" customWidth="1"/>
    <col min="64" max="64" width="15.875" style="3" customWidth="1"/>
    <col min="65" max="65" width="13.75390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3.625" style="3" customWidth="1"/>
    <col min="76" max="76" width="0.2421875" style="3" customWidth="1"/>
    <col min="77" max="77" width="9.25390625" style="3" hidden="1" customWidth="1"/>
    <col min="78" max="78" width="19.00390625" style="3" hidden="1" customWidth="1"/>
    <col min="79" max="79" width="18.875" style="3" hidden="1" customWidth="1"/>
    <col min="80" max="80" width="15.25390625" style="3" hidden="1" customWidth="1"/>
    <col min="81" max="81" width="9.375" style="3" hidden="1" customWidth="1"/>
    <col min="82" max="82" width="15.875" style="3" hidden="1" customWidth="1"/>
    <col min="83" max="83" width="11.25390625" style="3" hidden="1" customWidth="1"/>
    <col min="84" max="84" width="13.75390625" style="3" hidden="1" customWidth="1"/>
    <col min="85" max="85" width="9.375" style="3" hidden="1" customWidth="1"/>
    <col min="86" max="86" width="13.75390625" style="3" hidden="1" customWidth="1"/>
    <col min="87" max="87" width="9.00390625" style="3" hidden="1" customWidth="1"/>
    <col min="88" max="88" width="14.25390625" style="3" hidden="1" customWidth="1"/>
    <col min="89" max="89" width="7.00390625" style="3" hidden="1" customWidth="1"/>
    <col min="90" max="90" width="17.875" style="3" customWidth="1"/>
    <col min="91" max="91" width="13.625" style="3" customWidth="1"/>
    <col min="92" max="92" width="10.25390625" style="3" hidden="1" customWidth="1"/>
    <col min="93" max="93" width="7.875" style="3" hidden="1" customWidth="1"/>
    <col min="94" max="94" width="13.00390625" style="3" hidden="1" customWidth="1"/>
    <col min="95" max="95" width="11.375" style="3" hidden="1" customWidth="1"/>
    <col min="96" max="96" width="18.125" style="3" hidden="1" customWidth="1"/>
    <col min="97" max="97" width="21.75390625" style="3" hidden="1" customWidth="1"/>
    <col min="98" max="98" width="16.375" style="3" hidden="1" customWidth="1"/>
    <col min="99" max="99" width="16.625" style="3" hidden="1" customWidth="1"/>
    <col min="100" max="100" width="19.375" style="3" hidden="1" customWidth="1"/>
    <col min="101" max="101" width="14.25390625" style="3" hidden="1" customWidth="1"/>
    <col min="102" max="102" width="15.125" style="3" hidden="1" customWidth="1"/>
    <col min="103" max="103" width="15.25390625" style="3" hidden="1" customWidth="1"/>
    <col min="104" max="104" width="21.875" style="3" hidden="1" customWidth="1"/>
    <col min="105" max="105" width="17.125" style="3" hidden="1" customWidth="1"/>
    <col min="106" max="106" width="19.625" style="3" customWidth="1"/>
    <col min="107" max="107" width="15.125" style="3" customWidth="1"/>
    <col min="108" max="108" width="15.125" style="3" hidden="1" customWidth="1"/>
    <col min="109" max="109" width="16.25390625" style="3" hidden="1" customWidth="1"/>
    <col min="110" max="110" width="0.12890625" style="3" customWidth="1"/>
    <col min="111" max="111" width="14.00390625" style="3" hidden="1" customWidth="1"/>
    <col min="112" max="112" width="15.875" style="3" hidden="1" customWidth="1"/>
    <col min="113" max="113" width="15.25390625" style="3" hidden="1" customWidth="1"/>
    <col min="114" max="114" width="18.75390625" style="3" hidden="1" customWidth="1"/>
    <col min="115" max="115" width="12.875" style="3" hidden="1" customWidth="1"/>
    <col min="116" max="116" width="14.125" style="3" hidden="1" customWidth="1"/>
    <col min="117" max="117" width="10.625" style="3" hidden="1" customWidth="1"/>
    <col min="118" max="118" width="14.875" style="3" customWidth="1"/>
    <col min="119" max="119" width="11.375" style="3" customWidth="1"/>
    <col min="120" max="120" width="15.875" style="3" customWidth="1"/>
    <col min="121" max="121" width="11.75390625" style="3" customWidth="1"/>
    <col min="122" max="122" width="16.00390625" style="3" customWidth="1"/>
    <col min="123" max="123" width="10.375" style="3" customWidth="1"/>
    <col min="124" max="124" width="15.625" style="3" hidden="1" customWidth="1"/>
    <col min="125" max="125" width="12.375" style="3" hidden="1" customWidth="1"/>
    <col min="126" max="126" width="0.12890625" style="3" hidden="1" customWidth="1"/>
    <col min="127" max="127" width="12.125" style="3" hidden="1" customWidth="1"/>
    <col min="128" max="128" width="12.375" style="3" hidden="1" customWidth="1"/>
    <col min="129" max="129" width="7.75390625" style="3" hidden="1" customWidth="1"/>
    <col min="130" max="130" width="12.875" style="3" hidden="1" customWidth="1"/>
    <col min="131" max="131" width="9.375" style="3" hidden="1" customWidth="1"/>
    <col min="132" max="132" width="0.12890625" style="3" hidden="1" customWidth="1"/>
    <col min="133" max="133" width="12.875" style="3" hidden="1" customWidth="1"/>
    <col min="134" max="134" width="9.375" style="3" hidden="1" customWidth="1"/>
    <col min="135" max="135" width="11.00390625" style="3" hidden="1" customWidth="1"/>
    <col min="136" max="136" width="12.625" style="3" hidden="1" customWidth="1"/>
    <col min="137" max="137" width="9.75390625" style="3" hidden="1" customWidth="1"/>
    <col min="138" max="138" width="9.375" style="3" hidden="1" customWidth="1"/>
    <col min="139" max="139" width="12.875" style="3" hidden="1" customWidth="1"/>
    <col min="140" max="140" width="12.625" style="3" hidden="1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5.625" style="3" hidden="1" customWidth="1"/>
    <col min="145" max="145" width="11.75390625" style="3" hidden="1" customWidth="1"/>
    <col min="146" max="146" width="22.25390625" style="3" customWidth="1"/>
    <col min="147" max="148" width="17.875" style="3" customWidth="1"/>
    <col min="149" max="149" width="14.125" style="3" customWidth="1"/>
    <col min="150" max="150" width="15.25390625" style="3" hidden="1" customWidth="1"/>
    <col min="151" max="151" width="0.875" style="3" hidden="1" customWidth="1"/>
    <col min="152" max="154" width="9.125" style="3" hidden="1" customWidth="1"/>
    <col min="155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8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957" t="s">
        <v>1</v>
      </c>
      <c r="B4" s="957" t="s">
        <v>2</v>
      </c>
      <c r="C4" s="952" t="s">
        <v>3</v>
      </c>
      <c r="D4" s="952"/>
      <c r="E4" s="952" t="s">
        <v>4</v>
      </c>
      <c r="F4" s="957"/>
      <c r="G4" s="952" t="s">
        <v>282</v>
      </c>
      <c r="H4" s="952"/>
      <c r="I4" s="952"/>
      <c r="J4" s="952"/>
      <c r="K4" s="952" t="s">
        <v>6</v>
      </c>
      <c r="L4" s="952"/>
      <c r="M4" s="952"/>
      <c r="N4" s="952"/>
      <c r="O4" s="952" t="s">
        <v>7</v>
      </c>
      <c r="P4" s="952"/>
      <c r="Q4" s="952"/>
      <c r="R4" s="952"/>
      <c r="S4" s="952" t="s">
        <v>8</v>
      </c>
      <c r="T4" s="952"/>
      <c r="U4" s="952"/>
      <c r="V4" s="952"/>
      <c r="W4" s="952" t="s">
        <v>9</v>
      </c>
      <c r="X4" s="952"/>
      <c r="Y4" s="952"/>
      <c r="Z4" s="952"/>
      <c r="AA4" s="952" t="s">
        <v>171</v>
      </c>
      <c r="AB4" s="952"/>
      <c r="AC4" s="952"/>
      <c r="AD4" s="952"/>
      <c r="AE4" s="952" t="s">
        <v>10</v>
      </c>
      <c r="AF4" s="952"/>
      <c r="AG4" s="952"/>
      <c r="AH4" s="952"/>
      <c r="AI4" s="952"/>
      <c r="AJ4" s="952" t="s">
        <v>11</v>
      </c>
      <c r="AK4" s="952"/>
      <c r="AL4" s="952"/>
      <c r="AM4" s="952"/>
      <c r="AN4" s="952" t="s">
        <v>12</v>
      </c>
      <c r="AO4" s="952"/>
      <c r="AP4" s="952"/>
      <c r="AQ4" s="952"/>
      <c r="AR4" s="685"/>
      <c r="AS4" s="685"/>
      <c r="AT4" s="952" t="s">
        <v>13</v>
      </c>
      <c r="AU4" s="952"/>
      <c r="AV4" s="952"/>
      <c r="AW4" s="952"/>
      <c r="AX4" s="952" t="s">
        <v>14</v>
      </c>
      <c r="AY4" s="952"/>
      <c r="AZ4" s="952"/>
      <c r="BA4" s="952"/>
      <c r="BB4" s="952"/>
      <c r="BC4" s="952" t="s">
        <v>15</v>
      </c>
      <c r="BD4" s="952"/>
      <c r="BE4" s="952"/>
      <c r="BF4" s="952"/>
      <c r="BG4" s="685"/>
      <c r="BH4" s="685"/>
      <c r="BI4" s="685"/>
      <c r="BJ4" s="952" t="s">
        <v>16</v>
      </c>
      <c r="BK4" s="952"/>
      <c r="BL4" s="952"/>
      <c r="BM4" s="952"/>
      <c r="BN4" s="952" t="s">
        <v>17</v>
      </c>
      <c r="BO4" s="952"/>
      <c r="BP4" s="952"/>
      <c r="BQ4" s="952"/>
      <c r="BR4" s="952"/>
      <c r="BS4" s="952" t="s">
        <v>274</v>
      </c>
      <c r="BT4" s="952"/>
      <c r="BU4" s="952"/>
      <c r="BV4" s="952" t="s">
        <v>19</v>
      </c>
      <c r="BW4" s="952"/>
      <c r="BX4" s="952" t="s">
        <v>20</v>
      </c>
      <c r="BY4" s="952"/>
      <c r="BZ4" s="952"/>
      <c r="CA4" s="952"/>
      <c r="CB4" s="952"/>
      <c r="CC4" s="952"/>
      <c r="CD4" s="952"/>
      <c r="CE4" s="952"/>
      <c r="CF4" s="952"/>
      <c r="CG4" s="952"/>
      <c r="CH4" s="952"/>
      <c r="CI4" s="952"/>
      <c r="CJ4" s="952"/>
      <c r="CK4" s="952"/>
      <c r="CL4" s="952"/>
      <c r="CM4" s="952"/>
      <c r="CN4" s="952" t="s">
        <v>21</v>
      </c>
      <c r="CO4" s="952"/>
      <c r="CP4" s="952"/>
      <c r="CQ4" s="952"/>
      <c r="CR4" s="952"/>
      <c r="CS4" s="952"/>
      <c r="CT4" s="952"/>
      <c r="CU4" s="952"/>
      <c r="CV4" s="952"/>
      <c r="CW4" s="952"/>
      <c r="CX4" s="952"/>
      <c r="CY4" s="952"/>
      <c r="CZ4" s="952"/>
      <c r="DA4" s="952"/>
      <c r="DB4" s="952"/>
      <c r="DC4" s="952"/>
      <c r="DD4" s="952" t="s">
        <v>22</v>
      </c>
      <c r="DE4" s="952"/>
      <c r="DF4" s="952"/>
      <c r="DG4" s="952"/>
      <c r="DH4" s="952"/>
      <c r="DI4" s="952"/>
      <c r="DJ4" s="952"/>
      <c r="DK4" s="952"/>
      <c r="DL4" s="952"/>
      <c r="DM4" s="952"/>
      <c r="DN4" s="952"/>
      <c r="DO4" s="952"/>
      <c r="DP4" s="952" t="s">
        <v>23</v>
      </c>
      <c r="DQ4" s="952"/>
      <c r="DR4" s="952" t="s">
        <v>24</v>
      </c>
      <c r="DS4" s="952"/>
      <c r="DT4" s="954" t="s">
        <v>25</v>
      </c>
      <c r="DU4" s="954"/>
      <c r="DV4" s="954" t="s">
        <v>26</v>
      </c>
      <c r="DW4" s="954"/>
      <c r="DX4" s="954"/>
      <c r="DY4" s="954" t="s">
        <v>27</v>
      </c>
      <c r="DZ4" s="954"/>
      <c r="EA4" s="954"/>
      <c r="EB4" s="954" t="s">
        <v>28</v>
      </c>
      <c r="EC4" s="954"/>
      <c r="ED4" s="954"/>
      <c r="EE4" s="954" t="s">
        <v>29</v>
      </c>
      <c r="EF4" s="954"/>
      <c r="EG4" s="954"/>
      <c r="EH4" s="954" t="s">
        <v>30</v>
      </c>
      <c r="EI4" s="954"/>
      <c r="EJ4" s="954"/>
      <c r="EK4" s="952" t="s">
        <v>31</v>
      </c>
      <c r="EL4" s="952"/>
      <c r="EM4" s="952"/>
      <c r="EN4" s="952" t="s">
        <v>160</v>
      </c>
      <c r="EO4" s="952"/>
      <c r="EP4" s="952" t="s">
        <v>32</v>
      </c>
      <c r="EQ4" s="952"/>
      <c r="ER4" s="952"/>
      <c r="ES4" s="952"/>
    </row>
    <row r="5" spans="1:149" s="11" customFormat="1" ht="15.75">
      <c r="A5" s="957"/>
      <c r="B5" s="957"/>
      <c r="C5" s="952"/>
      <c r="D5" s="952"/>
      <c r="E5" s="957"/>
      <c r="F5" s="957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52"/>
      <c r="AK5" s="952"/>
      <c r="AL5" s="952"/>
      <c r="AM5" s="952"/>
      <c r="AN5" s="952"/>
      <c r="AO5" s="952"/>
      <c r="AP5" s="952"/>
      <c r="AQ5" s="952"/>
      <c r="AR5" s="685"/>
      <c r="AS5" s="685"/>
      <c r="AT5" s="952"/>
      <c r="AU5" s="952"/>
      <c r="AV5" s="952"/>
      <c r="AW5" s="952"/>
      <c r="AX5" s="952"/>
      <c r="AY5" s="952"/>
      <c r="AZ5" s="952"/>
      <c r="BA5" s="952"/>
      <c r="BB5" s="952"/>
      <c r="BC5" s="952"/>
      <c r="BD5" s="952"/>
      <c r="BE5" s="952"/>
      <c r="BF5" s="952"/>
      <c r="BG5" s="685"/>
      <c r="BH5" s="685"/>
      <c r="BI5" s="685"/>
      <c r="BJ5" s="952"/>
      <c r="BK5" s="952"/>
      <c r="BL5" s="952"/>
      <c r="BM5" s="952"/>
      <c r="BN5" s="952"/>
      <c r="BO5" s="952"/>
      <c r="BP5" s="952"/>
      <c r="BQ5" s="952"/>
      <c r="BR5" s="952"/>
      <c r="BS5" s="952"/>
      <c r="BT5" s="952"/>
      <c r="BU5" s="952"/>
      <c r="BV5" s="952"/>
      <c r="BW5" s="952"/>
      <c r="BX5" s="952"/>
      <c r="BY5" s="952"/>
      <c r="BZ5" s="952"/>
      <c r="CA5" s="952"/>
      <c r="CB5" s="952"/>
      <c r="CC5" s="952"/>
      <c r="CD5" s="952"/>
      <c r="CE5" s="952"/>
      <c r="CF5" s="952"/>
      <c r="CG5" s="952"/>
      <c r="CH5" s="952"/>
      <c r="CI5" s="952"/>
      <c r="CJ5" s="952"/>
      <c r="CK5" s="952"/>
      <c r="CL5" s="952"/>
      <c r="CM5" s="952"/>
      <c r="CN5" s="952"/>
      <c r="CO5" s="952"/>
      <c r="CP5" s="952"/>
      <c r="CQ5" s="952"/>
      <c r="CR5" s="952"/>
      <c r="CS5" s="952"/>
      <c r="CT5" s="952"/>
      <c r="CU5" s="952"/>
      <c r="CV5" s="952"/>
      <c r="CW5" s="952"/>
      <c r="CX5" s="952"/>
      <c r="CY5" s="952"/>
      <c r="CZ5" s="952"/>
      <c r="DA5" s="952"/>
      <c r="DB5" s="952"/>
      <c r="DC5" s="952"/>
      <c r="DD5" s="952"/>
      <c r="DE5" s="952"/>
      <c r="DF5" s="952"/>
      <c r="DG5" s="952"/>
      <c r="DH5" s="952"/>
      <c r="DI5" s="952"/>
      <c r="DJ5" s="952"/>
      <c r="DK5" s="952"/>
      <c r="DL5" s="952"/>
      <c r="DM5" s="952"/>
      <c r="DN5" s="952"/>
      <c r="DO5" s="952"/>
      <c r="DP5" s="952"/>
      <c r="DQ5" s="952"/>
      <c r="DR5" s="952"/>
      <c r="DS5" s="952"/>
      <c r="DT5" s="954"/>
      <c r="DU5" s="954"/>
      <c r="DV5" s="954"/>
      <c r="DW5" s="954"/>
      <c r="DX5" s="954"/>
      <c r="DY5" s="954"/>
      <c r="DZ5" s="954"/>
      <c r="EA5" s="954"/>
      <c r="EB5" s="954"/>
      <c r="EC5" s="954"/>
      <c r="ED5" s="954"/>
      <c r="EE5" s="954"/>
      <c r="EF5" s="954"/>
      <c r="EG5" s="954"/>
      <c r="EH5" s="954"/>
      <c r="EI5" s="954"/>
      <c r="EJ5" s="954"/>
      <c r="EK5" s="952"/>
      <c r="EL5" s="952"/>
      <c r="EM5" s="952"/>
      <c r="EN5" s="952"/>
      <c r="EO5" s="952"/>
      <c r="EP5" s="952"/>
      <c r="EQ5" s="952"/>
      <c r="ER5" s="952"/>
      <c r="ES5" s="952"/>
    </row>
    <row r="6" spans="1:149" s="16" customFormat="1" ht="153" customHeight="1">
      <c r="A6" s="957"/>
      <c r="B6" s="957"/>
      <c r="C6" s="952"/>
      <c r="D6" s="952"/>
      <c r="E6" s="957"/>
      <c r="F6" s="957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2"/>
      <c r="AH6" s="952"/>
      <c r="AI6" s="952"/>
      <c r="AJ6" s="952"/>
      <c r="AK6" s="952"/>
      <c r="AL6" s="952"/>
      <c r="AM6" s="952"/>
      <c r="AN6" s="952"/>
      <c r="AO6" s="952"/>
      <c r="AP6" s="952"/>
      <c r="AQ6" s="952"/>
      <c r="AR6" s="685"/>
      <c r="AS6" s="685"/>
      <c r="AT6" s="952"/>
      <c r="AU6" s="952"/>
      <c r="AV6" s="952"/>
      <c r="AW6" s="952"/>
      <c r="AX6" s="952"/>
      <c r="AY6" s="952"/>
      <c r="AZ6" s="952"/>
      <c r="BA6" s="952"/>
      <c r="BB6" s="952"/>
      <c r="BC6" s="952"/>
      <c r="BD6" s="952"/>
      <c r="BE6" s="952"/>
      <c r="BF6" s="952"/>
      <c r="BG6" s="685"/>
      <c r="BH6" s="685"/>
      <c r="BI6" s="685"/>
      <c r="BJ6" s="952"/>
      <c r="BK6" s="952"/>
      <c r="BL6" s="952"/>
      <c r="BM6" s="952"/>
      <c r="BN6" s="952"/>
      <c r="BO6" s="952"/>
      <c r="BP6" s="952"/>
      <c r="BQ6" s="952"/>
      <c r="BR6" s="952"/>
      <c r="BS6" s="952"/>
      <c r="BT6" s="952"/>
      <c r="BU6" s="952"/>
      <c r="BV6" s="952"/>
      <c r="BW6" s="952"/>
      <c r="BX6" s="952"/>
      <c r="BY6" s="952"/>
      <c r="BZ6" s="952"/>
      <c r="CA6" s="952"/>
      <c r="CB6" s="952"/>
      <c r="CC6" s="952"/>
      <c r="CD6" s="952"/>
      <c r="CE6" s="952"/>
      <c r="CF6" s="952"/>
      <c r="CG6" s="952"/>
      <c r="CH6" s="952"/>
      <c r="CI6" s="952"/>
      <c r="CJ6" s="952"/>
      <c r="CK6" s="952"/>
      <c r="CL6" s="952"/>
      <c r="CM6" s="952"/>
      <c r="CN6" s="952"/>
      <c r="CO6" s="952"/>
      <c r="CP6" s="952"/>
      <c r="CQ6" s="952"/>
      <c r="CR6" s="952"/>
      <c r="CS6" s="952"/>
      <c r="CT6" s="952"/>
      <c r="CU6" s="952"/>
      <c r="CV6" s="952"/>
      <c r="CW6" s="952"/>
      <c r="CX6" s="952"/>
      <c r="CY6" s="952"/>
      <c r="CZ6" s="952"/>
      <c r="DA6" s="952"/>
      <c r="DB6" s="952"/>
      <c r="DC6" s="952"/>
      <c r="DD6" s="952"/>
      <c r="DE6" s="952"/>
      <c r="DF6" s="952"/>
      <c r="DG6" s="952"/>
      <c r="DH6" s="952"/>
      <c r="DI6" s="952"/>
      <c r="DJ6" s="952"/>
      <c r="DK6" s="952"/>
      <c r="DL6" s="952"/>
      <c r="DM6" s="952"/>
      <c r="DN6" s="952"/>
      <c r="DO6" s="952"/>
      <c r="DP6" s="952"/>
      <c r="DQ6" s="952"/>
      <c r="DR6" s="952"/>
      <c r="DS6" s="952"/>
      <c r="DT6" s="954"/>
      <c r="DU6" s="954"/>
      <c r="DV6" s="954"/>
      <c r="DW6" s="954"/>
      <c r="DX6" s="954"/>
      <c r="DY6" s="954"/>
      <c r="DZ6" s="954"/>
      <c r="EA6" s="954"/>
      <c r="EB6" s="954"/>
      <c r="EC6" s="954"/>
      <c r="ED6" s="954"/>
      <c r="EE6" s="954"/>
      <c r="EF6" s="954"/>
      <c r="EG6" s="954"/>
      <c r="EH6" s="954"/>
      <c r="EI6" s="954"/>
      <c r="EJ6" s="954"/>
      <c r="EK6" s="952"/>
      <c r="EL6" s="952"/>
      <c r="EM6" s="952"/>
      <c r="EN6" s="952"/>
      <c r="EO6" s="952"/>
      <c r="EP6" s="952"/>
      <c r="EQ6" s="952"/>
      <c r="ER6" s="952"/>
      <c r="ES6" s="952"/>
    </row>
    <row r="7" spans="1:149" s="16" customFormat="1" ht="15.75">
      <c r="A7" s="957"/>
      <c r="B7" s="957"/>
      <c r="C7" s="952" t="s">
        <v>33</v>
      </c>
      <c r="D7" s="952"/>
      <c r="E7" s="952" t="s">
        <v>34</v>
      </c>
      <c r="F7" s="952"/>
      <c r="G7" s="952" t="s">
        <v>35</v>
      </c>
      <c r="H7" s="952"/>
      <c r="I7" s="952"/>
      <c r="J7" s="952"/>
      <c r="K7" s="952" t="s">
        <v>36</v>
      </c>
      <c r="L7" s="952"/>
      <c r="M7" s="952"/>
      <c r="N7" s="952"/>
      <c r="O7" s="952" t="s">
        <v>37</v>
      </c>
      <c r="P7" s="952"/>
      <c r="Q7" s="952"/>
      <c r="R7" s="952"/>
      <c r="S7" s="952" t="s">
        <v>38</v>
      </c>
      <c r="T7" s="952"/>
      <c r="U7" s="952"/>
      <c r="V7" s="952"/>
      <c r="W7" s="952" t="s">
        <v>39</v>
      </c>
      <c r="X7" s="952"/>
      <c r="Y7" s="952"/>
      <c r="Z7" s="952"/>
      <c r="AA7" s="952" t="s">
        <v>40</v>
      </c>
      <c r="AB7" s="952"/>
      <c r="AC7" s="952"/>
      <c r="AD7" s="952"/>
      <c r="AE7" s="952" t="s">
        <v>41</v>
      </c>
      <c r="AF7" s="952"/>
      <c r="AG7" s="952"/>
      <c r="AH7" s="952"/>
      <c r="AI7" s="952"/>
      <c r="AJ7" s="952" t="s">
        <v>42</v>
      </c>
      <c r="AK7" s="952"/>
      <c r="AL7" s="952"/>
      <c r="AM7" s="952"/>
      <c r="AN7" s="952" t="s">
        <v>43</v>
      </c>
      <c r="AO7" s="952"/>
      <c r="AP7" s="952"/>
      <c r="AQ7" s="952"/>
      <c r="AR7" s="686"/>
      <c r="AS7" s="686"/>
      <c r="AT7" s="952" t="s">
        <v>44</v>
      </c>
      <c r="AU7" s="952"/>
      <c r="AV7" s="952"/>
      <c r="AW7" s="952"/>
      <c r="AX7" s="952" t="s">
        <v>45</v>
      </c>
      <c r="AY7" s="952"/>
      <c r="AZ7" s="952"/>
      <c r="BA7" s="952"/>
      <c r="BB7" s="952"/>
      <c r="BC7" s="952" t="s">
        <v>46</v>
      </c>
      <c r="BD7" s="952"/>
      <c r="BE7" s="952"/>
      <c r="BF7" s="952"/>
      <c r="BG7" s="685"/>
      <c r="BH7" s="686"/>
      <c r="BI7" s="686"/>
      <c r="BJ7" s="952" t="s">
        <v>47</v>
      </c>
      <c r="BK7" s="952"/>
      <c r="BL7" s="952"/>
      <c r="BM7" s="952"/>
      <c r="BN7" s="952" t="s">
        <v>48</v>
      </c>
      <c r="BO7" s="952"/>
      <c r="BP7" s="952"/>
      <c r="BQ7" s="952"/>
      <c r="BR7" s="952"/>
      <c r="BS7" s="952" t="s">
        <v>49</v>
      </c>
      <c r="BT7" s="952"/>
      <c r="BU7" s="952"/>
      <c r="BV7" s="952" t="s">
        <v>50</v>
      </c>
      <c r="BW7" s="952"/>
      <c r="BX7" s="952" t="s">
        <v>51</v>
      </c>
      <c r="BY7" s="952"/>
      <c r="BZ7" s="952"/>
      <c r="CA7" s="952"/>
      <c r="CB7" s="952"/>
      <c r="CC7" s="952"/>
      <c r="CD7" s="952"/>
      <c r="CE7" s="952"/>
      <c r="CF7" s="952"/>
      <c r="CG7" s="952"/>
      <c r="CH7" s="952"/>
      <c r="CI7" s="952"/>
      <c r="CJ7" s="952"/>
      <c r="CK7" s="952"/>
      <c r="CL7" s="952"/>
      <c r="CM7" s="952"/>
      <c r="CN7" s="952" t="s">
        <v>52</v>
      </c>
      <c r="CO7" s="952"/>
      <c r="CP7" s="952"/>
      <c r="CQ7" s="952"/>
      <c r="CR7" s="952"/>
      <c r="CS7" s="952"/>
      <c r="CT7" s="952"/>
      <c r="CU7" s="952"/>
      <c r="CV7" s="952"/>
      <c r="CW7" s="952"/>
      <c r="CX7" s="952"/>
      <c r="CY7" s="952"/>
      <c r="CZ7" s="952"/>
      <c r="DA7" s="952"/>
      <c r="DB7" s="952"/>
      <c r="DC7" s="952"/>
      <c r="DD7" s="952" t="s">
        <v>53</v>
      </c>
      <c r="DE7" s="952"/>
      <c r="DF7" s="952"/>
      <c r="DG7" s="952"/>
      <c r="DH7" s="952"/>
      <c r="DI7" s="952"/>
      <c r="DJ7" s="952"/>
      <c r="DK7" s="952"/>
      <c r="DL7" s="952"/>
      <c r="DM7" s="952"/>
      <c r="DN7" s="952"/>
      <c r="DO7" s="952"/>
      <c r="DP7" s="952" t="s">
        <v>54</v>
      </c>
      <c r="DQ7" s="952"/>
      <c r="DR7" s="952" t="s">
        <v>55</v>
      </c>
      <c r="DS7" s="952"/>
      <c r="DT7" s="952" t="s">
        <v>56</v>
      </c>
      <c r="DU7" s="952"/>
      <c r="DV7" s="952" t="s">
        <v>57</v>
      </c>
      <c r="DW7" s="952"/>
      <c r="DX7" s="952"/>
      <c r="DY7" s="952" t="s">
        <v>58</v>
      </c>
      <c r="DZ7" s="952"/>
      <c r="EA7" s="952"/>
      <c r="EB7" s="952" t="s">
        <v>59</v>
      </c>
      <c r="EC7" s="952"/>
      <c r="ED7" s="952"/>
      <c r="EE7" s="952" t="s">
        <v>60</v>
      </c>
      <c r="EF7" s="952"/>
      <c r="EG7" s="952"/>
      <c r="EH7" s="952" t="s">
        <v>61</v>
      </c>
      <c r="EI7" s="952"/>
      <c r="EJ7" s="952"/>
      <c r="EK7" s="952" t="s">
        <v>63</v>
      </c>
      <c r="EL7" s="952"/>
      <c r="EM7" s="952"/>
      <c r="EN7" s="952" t="s">
        <v>62</v>
      </c>
      <c r="EO7" s="952"/>
      <c r="EP7" s="952"/>
      <c r="EQ7" s="952"/>
      <c r="ER7" s="952"/>
      <c r="ES7" s="952"/>
    </row>
    <row r="8" spans="1:154" s="16" customFormat="1" ht="111.75" customHeight="1">
      <c r="A8" s="957"/>
      <c r="B8" s="957"/>
      <c r="C8" s="952" t="s">
        <v>64</v>
      </c>
      <c r="D8" s="953" t="s">
        <v>65</v>
      </c>
      <c r="E8" s="952" t="s">
        <v>64</v>
      </c>
      <c r="F8" s="953" t="s">
        <v>65</v>
      </c>
      <c r="G8" s="952" t="s">
        <v>66</v>
      </c>
      <c r="H8" s="952" t="s">
        <v>67</v>
      </c>
      <c r="I8" s="952" t="s">
        <v>64</v>
      </c>
      <c r="J8" s="953" t="s">
        <v>65</v>
      </c>
      <c r="K8" s="952" t="s">
        <v>67</v>
      </c>
      <c r="L8" s="952" t="s">
        <v>68</v>
      </c>
      <c r="M8" s="952" t="s">
        <v>64</v>
      </c>
      <c r="N8" s="953" t="s">
        <v>65</v>
      </c>
      <c r="O8" s="952" t="s">
        <v>67</v>
      </c>
      <c r="P8" s="952" t="s">
        <v>69</v>
      </c>
      <c r="Q8" s="952" t="s">
        <v>64</v>
      </c>
      <c r="R8" s="953" t="s">
        <v>65</v>
      </c>
      <c r="S8" s="952" t="s">
        <v>70</v>
      </c>
      <c r="T8" s="952" t="s">
        <v>71</v>
      </c>
      <c r="U8" s="952" t="s">
        <v>64</v>
      </c>
      <c r="V8" s="953" t="s">
        <v>65</v>
      </c>
      <c r="W8" s="952" t="s">
        <v>72</v>
      </c>
      <c r="X8" s="952" t="s">
        <v>73</v>
      </c>
      <c r="Y8" s="952" t="s">
        <v>64</v>
      </c>
      <c r="Z8" s="953" t="s">
        <v>65</v>
      </c>
      <c r="AA8" s="952" t="s">
        <v>74</v>
      </c>
      <c r="AB8" s="952" t="s">
        <v>75</v>
      </c>
      <c r="AC8" s="952" t="s">
        <v>64</v>
      </c>
      <c r="AD8" s="953" t="s">
        <v>65</v>
      </c>
      <c r="AE8" s="952" t="s">
        <v>76</v>
      </c>
      <c r="AF8" s="952" t="s">
        <v>77</v>
      </c>
      <c r="AG8" s="952" t="s">
        <v>78</v>
      </c>
      <c r="AH8" s="952" t="s">
        <v>64</v>
      </c>
      <c r="AI8" s="953" t="s">
        <v>65</v>
      </c>
      <c r="AJ8" s="952" t="s">
        <v>154</v>
      </c>
      <c r="AK8" s="952" t="s">
        <v>155</v>
      </c>
      <c r="AL8" s="952" t="s">
        <v>64</v>
      </c>
      <c r="AM8" s="953" t="s">
        <v>65</v>
      </c>
      <c r="AN8" s="952" t="s">
        <v>79</v>
      </c>
      <c r="AO8" s="952" t="s">
        <v>80</v>
      </c>
      <c r="AP8" s="952" t="s">
        <v>64</v>
      </c>
      <c r="AQ8" s="953" t="s">
        <v>81</v>
      </c>
      <c r="AR8" s="686"/>
      <c r="AS8" s="958" t="s">
        <v>82</v>
      </c>
      <c r="AT8" s="952" t="s">
        <v>82</v>
      </c>
      <c r="AU8" s="952" t="s">
        <v>83</v>
      </c>
      <c r="AV8" s="952" t="s">
        <v>64</v>
      </c>
      <c r="AW8" s="953" t="s">
        <v>65</v>
      </c>
      <c r="AX8" s="952" t="s">
        <v>84</v>
      </c>
      <c r="AY8" s="952" t="s">
        <v>85</v>
      </c>
      <c r="AZ8" s="952"/>
      <c r="BA8" s="953" t="s">
        <v>86</v>
      </c>
      <c r="BB8" s="953" t="s">
        <v>87</v>
      </c>
      <c r="BC8" s="952" t="s">
        <v>88</v>
      </c>
      <c r="BD8" s="952" t="s">
        <v>89</v>
      </c>
      <c r="BE8" s="952" t="s">
        <v>64</v>
      </c>
      <c r="BF8" s="953" t="s">
        <v>65</v>
      </c>
      <c r="BG8" s="687"/>
      <c r="BH8" s="687"/>
      <c r="BI8" s="687"/>
      <c r="BJ8" s="952" t="s">
        <v>90</v>
      </c>
      <c r="BK8" s="952" t="s">
        <v>91</v>
      </c>
      <c r="BL8" s="952" t="s">
        <v>64</v>
      </c>
      <c r="BM8" s="953" t="s">
        <v>65</v>
      </c>
      <c r="BN8" s="952" t="s">
        <v>92</v>
      </c>
      <c r="BO8" s="952" t="s">
        <v>93</v>
      </c>
      <c r="BP8" s="952" t="s">
        <v>94</v>
      </c>
      <c r="BQ8" s="952" t="s">
        <v>64</v>
      </c>
      <c r="BR8" s="953" t="s">
        <v>65</v>
      </c>
      <c r="BS8" s="952" t="s">
        <v>275</v>
      </c>
      <c r="BT8" s="952" t="s">
        <v>64</v>
      </c>
      <c r="BU8" s="953" t="s">
        <v>65</v>
      </c>
      <c r="BV8" s="952" t="s">
        <v>64</v>
      </c>
      <c r="BW8" s="953" t="s">
        <v>65</v>
      </c>
      <c r="BX8" s="952" t="s">
        <v>96</v>
      </c>
      <c r="BY8" s="952"/>
      <c r="BZ8" s="956"/>
      <c r="CA8" s="956"/>
      <c r="CB8" s="1021" t="s">
        <v>277</v>
      </c>
      <c r="CC8" s="1021"/>
      <c r="CD8" s="1021" t="s">
        <v>97</v>
      </c>
      <c r="CE8" s="1021"/>
      <c r="CF8" s="1021" t="s">
        <v>151</v>
      </c>
      <c r="CG8" s="1021"/>
      <c r="CH8" s="956" t="s">
        <v>283</v>
      </c>
      <c r="CI8" s="956"/>
      <c r="CJ8" s="956" t="s">
        <v>284</v>
      </c>
      <c r="CK8" s="956"/>
      <c r="CL8" s="952" t="s">
        <v>105</v>
      </c>
      <c r="CM8" s="952"/>
      <c r="CN8" s="955" t="s">
        <v>276</v>
      </c>
      <c r="CO8" s="955"/>
      <c r="CP8" s="955"/>
      <c r="CQ8" s="955"/>
      <c r="CR8" s="955" t="s">
        <v>157</v>
      </c>
      <c r="CS8" s="955"/>
      <c r="CT8" s="955" t="s">
        <v>153</v>
      </c>
      <c r="CU8" s="955"/>
      <c r="CV8" s="955" t="s">
        <v>162</v>
      </c>
      <c r="CW8" s="955"/>
      <c r="CX8" s="952" t="s">
        <v>278</v>
      </c>
      <c r="CY8" s="952"/>
      <c r="CZ8" s="952" t="s">
        <v>279</v>
      </c>
      <c r="DA8" s="952"/>
      <c r="DB8" s="952" t="s">
        <v>105</v>
      </c>
      <c r="DC8" s="952"/>
      <c r="DD8" s="952" t="s">
        <v>281</v>
      </c>
      <c r="DE8" s="952"/>
      <c r="DF8" s="958" t="s">
        <v>102</v>
      </c>
      <c r="DG8" s="958"/>
      <c r="DH8" s="952" t="s">
        <v>103</v>
      </c>
      <c r="DI8" s="952"/>
      <c r="DJ8" s="956"/>
      <c r="DK8" s="956"/>
      <c r="DL8" s="1021" t="s">
        <v>104</v>
      </c>
      <c r="DM8" s="1021"/>
      <c r="DN8" s="952" t="s">
        <v>105</v>
      </c>
      <c r="DO8" s="952"/>
      <c r="DP8" s="952" t="s">
        <v>64</v>
      </c>
      <c r="DQ8" s="953" t="s">
        <v>65</v>
      </c>
      <c r="DR8" s="952" t="s">
        <v>64</v>
      </c>
      <c r="DS8" s="953" t="s">
        <v>65</v>
      </c>
      <c r="DT8" s="952" t="s">
        <v>64</v>
      </c>
      <c r="DU8" s="952" t="s">
        <v>65</v>
      </c>
      <c r="DV8" s="952" t="s">
        <v>106</v>
      </c>
      <c r="DW8" s="952" t="s">
        <v>64</v>
      </c>
      <c r="DX8" s="952" t="s">
        <v>65</v>
      </c>
      <c r="DY8" s="952" t="s">
        <v>106</v>
      </c>
      <c r="DZ8" s="952" t="s">
        <v>64</v>
      </c>
      <c r="EA8" s="952" t="s">
        <v>65</v>
      </c>
      <c r="EB8" s="952" t="s">
        <v>106</v>
      </c>
      <c r="EC8" s="952" t="s">
        <v>64</v>
      </c>
      <c r="ED8" s="952" t="s">
        <v>65</v>
      </c>
      <c r="EE8" s="952" t="s">
        <v>106</v>
      </c>
      <c r="EF8" s="952" t="s">
        <v>64</v>
      </c>
      <c r="EG8" s="952" t="s">
        <v>65</v>
      </c>
      <c r="EH8" s="952" t="s">
        <v>106</v>
      </c>
      <c r="EI8" s="952" t="s">
        <v>64</v>
      </c>
      <c r="EJ8" s="952" t="s">
        <v>65</v>
      </c>
      <c r="EK8" s="954" t="s">
        <v>106</v>
      </c>
      <c r="EL8" s="954" t="s">
        <v>64</v>
      </c>
      <c r="EM8" s="954" t="s">
        <v>65</v>
      </c>
      <c r="EN8" s="954" t="s">
        <v>64</v>
      </c>
      <c r="EO8" s="954" t="s">
        <v>65</v>
      </c>
      <c r="EP8" s="952" t="s">
        <v>107</v>
      </c>
      <c r="EQ8" s="952" t="s">
        <v>108</v>
      </c>
      <c r="ER8" s="952" t="s">
        <v>109</v>
      </c>
      <c r="ES8" s="952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146.25" customHeight="1">
      <c r="A9" s="957"/>
      <c r="B9" s="957"/>
      <c r="C9" s="952"/>
      <c r="D9" s="953"/>
      <c r="E9" s="952"/>
      <c r="F9" s="953"/>
      <c r="G9" s="952"/>
      <c r="H9" s="952"/>
      <c r="I9" s="952"/>
      <c r="J9" s="953"/>
      <c r="K9" s="952"/>
      <c r="L9" s="952"/>
      <c r="M9" s="952"/>
      <c r="N9" s="953"/>
      <c r="O9" s="952"/>
      <c r="P9" s="952"/>
      <c r="Q9" s="952"/>
      <c r="R9" s="953"/>
      <c r="S9" s="952"/>
      <c r="T9" s="952"/>
      <c r="U9" s="952"/>
      <c r="V9" s="953"/>
      <c r="W9" s="952"/>
      <c r="X9" s="952"/>
      <c r="Y9" s="952"/>
      <c r="Z9" s="953"/>
      <c r="AA9" s="952"/>
      <c r="AB9" s="952"/>
      <c r="AC9" s="952"/>
      <c r="AD9" s="953"/>
      <c r="AE9" s="952"/>
      <c r="AF9" s="952"/>
      <c r="AG9" s="952"/>
      <c r="AH9" s="952"/>
      <c r="AI9" s="953"/>
      <c r="AJ9" s="952"/>
      <c r="AK9" s="952"/>
      <c r="AL9" s="952"/>
      <c r="AM9" s="953"/>
      <c r="AN9" s="952"/>
      <c r="AO9" s="952"/>
      <c r="AP9" s="952"/>
      <c r="AQ9" s="953"/>
      <c r="AR9" s="686"/>
      <c r="AS9" s="958"/>
      <c r="AT9" s="952"/>
      <c r="AU9" s="952"/>
      <c r="AV9" s="952"/>
      <c r="AW9" s="953"/>
      <c r="AX9" s="952"/>
      <c r="AY9" s="685" t="s">
        <v>111</v>
      </c>
      <c r="AZ9" s="685" t="s">
        <v>112</v>
      </c>
      <c r="BA9" s="953"/>
      <c r="BB9" s="953"/>
      <c r="BC9" s="952"/>
      <c r="BD9" s="952"/>
      <c r="BE9" s="952"/>
      <c r="BF9" s="953"/>
      <c r="BG9" s="687"/>
      <c r="BH9" s="687"/>
      <c r="BI9" s="687"/>
      <c r="BJ9" s="952"/>
      <c r="BK9" s="952"/>
      <c r="BL9" s="952"/>
      <c r="BM9" s="953"/>
      <c r="BN9" s="952"/>
      <c r="BO9" s="952"/>
      <c r="BP9" s="952"/>
      <c r="BQ9" s="952"/>
      <c r="BR9" s="953"/>
      <c r="BS9" s="952"/>
      <c r="BT9" s="952"/>
      <c r="BU9" s="953"/>
      <c r="BV9" s="952"/>
      <c r="BW9" s="953"/>
      <c r="BX9" s="685" t="s">
        <v>113</v>
      </c>
      <c r="BY9" s="685" t="s">
        <v>65</v>
      </c>
      <c r="BZ9" s="796" t="s">
        <v>113</v>
      </c>
      <c r="CA9" s="796" t="s">
        <v>65</v>
      </c>
      <c r="CB9" s="796" t="s">
        <v>113</v>
      </c>
      <c r="CC9" s="796" t="s">
        <v>65</v>
      </c>
      <c r="CD9" s="796" t="s">
        <v>113</v>
      </c>
      <c r="CE9" s="796" t="s">
        <v>65</v>
      </c>
      <c r="CF9" s="796" t="s">
        <v>113</v>
      </c>
      <c r="CG9" s="796" t="s">
        <v>65</v>
      </c>
      <c r="CH9" s="796" t="s">
        <v>113</v>
      </c>
      <c r="CI9" s="796" t="s">
        <v>65</v>
      </c>
      <c r="CJ9" s="796" t="s">
        <v>113</v>
      </c>
      <c r="CK9" s="796" t="s">
        <v>65</v>
      </c>
      <c r="CL9" s="685" t="s">
        <v>64</v>
      </c>
      <c r="CM9" s="687" t="s">
        <v>65</v>
      </c>
      <c r="CN9" s="685" t="s">
        <v>114</v>
      </c>
      <c r="CO9" s="685" t="s">
        <v>65</v>
      </c>
      <c r="CP9" s="685" t="s">
        <v>114</v>
      </c>
      <c r="CQ9" s="685" t="s">
        <v>65</v>
      </c>
      <c r="CR9" s="685" t="s">
        <v>114</v>
      </c>
      <c r="CS9" s="687" t="s">
        <v>65</v>
      </c>
      <c r="CT9" s="685" t="s">
        <v>114</v>
      </c>
      <c r="CU9" s="687" t="s">
        <v>65</v>
      </c>
      <c r="CV9" s="685" t="s">
        <v>114</v>
      </c>
      <c r="CW9" s="687" t="s">
        <v>65</v>
      </c>
      <c r="CX9" s="685" t="s">
        <v>114</v>
      </c>
      <c r="CY9" s="687" t="s">
        <v>65</v>
      </c>
      <c r="CZ9" s="685" t="s">
        <v>114</v>
      </c>
      <c r="DA9" s="687" t="s">
        <v>65</v>
      </c>
      <c r="DB9" s="685" t="s">
        <v>64</v>
      </c>
      <c r="DC9" s="687" t="s">
        <v>65</v>
      </c>
      <c r="DD9" s="685" t="s">
        <v>114</v>
      </c>
      <c r="DE9" s="687" t="s">
        <v>65</v>
      </c>
      <c r="DF9" s="685" t="s">
        <v>114</v>
      </c>
      <c r="DG9" s="687" t="s">
        <v>65</v>
      </c>
      <c r="DH9" s="685" t="s">
        <v>114</v>
      </c>
      <c r="DI9" s="687" t="s">
        <v>65</v>
      </c>
      <c r="DJ9" s="796" t="s">
        <v>114</v>
      </c>
      <c r="DK9" s="796" t="s">
        <v>65</v>
      </c>
      <c r="DL9" s="796" t="s">
        <v>114</v>
      </c>
      <c r="DM9" s="796" t="s">
        <v>65</v>
      </c>
      <c r="DN9" s="685" t="s">
        <v>64</v>
      </c>
      <c r="DO9" s="687" t="s">
        <v>65</v>
      </c>
      <c r="DP9" s="952"/>
      <c r="DQ9" s="953"/>
      <c r="DR9" s="952"/>
      <c r="DS9" s="953"/>
      <c r="DT9" s="952"/>
      <c r="DU9" s="952"/>
      <c r="DV9" s="952"/>
      <c r="DW9" s="952"/>
      <c r="DX9" s="952"/>
      <c r="DY9" s="952"/>
      <c r="DZ9" s="952"/>
      <c r="EA9" s="952"/>
      <c r="EB9" s="952"/>
      <c r="EC9" s="952"/>
      <c r="ED9" s="952"/>
      <c r="EE9" s="952"/>
      <c r="EF9" s="952"/>
      <c r="EG9" s="952"/>
      <c r="EH9" s="952"/>
      <c r="EI9" s="952"/>
      <c r="EJ9" s="952"/>
      <c r="EK9" s="954"/>
      <c r="EL9" s="954"/>
      <c r="EM9" s="954"/>
      <c r="EN9" s="954"/>
      <c r="EO9" s="954"/>
      <c r="EP9" s="952"/>
      <c r="EQ9" s="952"/>
      <c r="ER9" s="952"/>
      <c r="ES9" s="952"/>
    </row>
    <row r="10" spans="1:154" s="54" customFormat="1" ht="18.75">
      <c r="A10" s="692">
        <f aca="true" t="shared" si="0" ref="A10:A24">A9+1</f>
        <v>1</v>
      </c>
      <c r="B10" s="694" t="s">
        <v>133</v>
      </c>
      <c r="C10" s="704">
        <v>0</v>
      </c>
      <c r="D10" s="690">
        <v>1</v>
      </c>
      <c r="E10" s="704">
        <v>0</v>
      </c>
      <c r="F10" s="690">
        <v>1</v>
      </c>
      <c r="G10" s="705">
        <v>4543.4</v>
      </c>
      <c r="H10" s="705">
        <v>4921.76718</v>
      </c>
      <c r="I10" s="706">
        <f>(G10-H10)/G10*100%</f>
        <v>-0.08327842144649386</v>
      </c>
      <c r="J10" s="688">
        <v>0.6</v>
      </c>
      <c r="K10" s="797">
        <v>2797.2223</v>
      </c>
      <c r="L10" s="797">
        <v>4640.65048</v>
      </c>
      <c r="M10" s="798">
        <f>K10/L10*100%</f>
        <v>0.6027651321846587</v>
      </c>
      <c r="N10" s="836">
        <v>0.8</v>
      </c>
      <c r="O10" s="797">
        <v>2797.2223</v>
      </c>
      <c r="P10" s="797">
        <v>4557.93374</v>
      </c>
      <c r="Q10" s="798">
        <f>O10/P10*100%</f>
        <v>0.6137040289664236</v>
      </c>
      <c r="R10" s="837">
        <v>1</v>
      </c>
      <c r="S10" s="797">
        <f>K10</f>
        <v>2797.2223</v>
      </c>
      <c r="T10" s="797">
        <v>1814.07751</v>
      </c>
      <c r="U10" s="799">
        <f>S10/T10*100%</f>
        <v>1.5419530227239298</v>
      </c>
      <c r="V10" s="838">
        <f>IF(U10&gt;100%,1,0)</f>
        <v>1</v>
      </c>
      <c r="W10" s="797">
        <v>890.912</v>
      </c>
      <c r="X10" s="797">
        <v>1027.574</v>
      </c>
      <c r="Y10" s="800">
        <f>X10/W10*100%</f>
        <v>1.1533956215653174</v>
      </c>
      <c r="Z10" s="837">
        <v>0</v>
      </c>
      <c r="AA10" s="797">
        <v>1027.574</v>
      </c>
      <c r="AB10" s="797">
        <v>2132.242</v>
      </c>
      <c r="AC10" s="799">
        <f>AA10/AB10*100%</f>
        <v>0.48192184564416235</v>
      </c>
      <c r="AD10" s="839">
        <f>IF(0&lt;AC10&gt;100%,1-AC10/100%,0)</f>
        <v>0.5180781543558377</v>
      </c>
      <c r="AE10" s="797">
        <v>1870.62818</v>
      </c>
      <c r="AF10" s="797">
        <v>4640.65048</v>
      </c>
      <c r="AG10" s="797">
        <v>131.044</v>
      </c>
      <c r="AH10" s="798">
        <f>AE10/(AF10-AG10)*100%</f>
        <v>0.4148096265818741</v>
      </c>
      <c r="AI10" s="838">
        <v>0.8</v>
      </c>
      <c r="AJ10" s="801">
        <v>-3140.13135</v>
      </c>
      <c r="AK10" s="801">
        <v>-5634.24887</v>
      </c>
      <c r="AL10" s="801">
        <f>AJ10-AK10</f>
        <v>2494.1175200000002</v>
      </c>
      <c r="AM10" s="836">
        <f>IF(AL10&gt;100%,1,0)</f>
        <v>1</v>
      </c>
      <c r="AN10" s="840">
        <f>(652550+1415399.07+8400)/1000</f>
        <v>2076.34907</v>
      </c>
      <c r="AO10" s="708">
        <v>2669.3</v>
      </c>
      <c r="AP10" s="706">
        <f>AN10*100%/AO10</f>
        <v>0.7778627617727495</v>
      </c>
      <c r="AQ10" s="709">
        <v>1</v>
      </c>
      <c r="AR10" s="710">
        <f>AT10*100/AT36</f>
        <v>2.826388675700165</v>
      </c>
      <c r="AS10" s="711">
        <v>11652.56</v>
      </c>
      <c r="AT10" s="843">
        <f>10643581.53/1000</f>
        <v>10643.58153</v>
      </c>
      <c r="AU10" s="841">
        <v>3453.974</v>
      </c>
      <c r="AV10" s="706">
        <f>AU10*100%/AS10</f>
        <v>0.2964133203347591</v>
      </c>
      <c r="AW10" s="689">
        <v>1</v>
      </c>
      <c r="AX10" s="842">
        <f>1957930/1000</f>
        <v>1957.93</v>
      </c>
      <c r="AY10" s="708">
        <f>AX10*100/AN10</f>
        <v>94.29676484985252</v>
      </c>
      <c r="AZ10" s="708">
        <f>AX10*100/AU10</f>
        <v>56.68629815974295</v>
      </c>
      <c r="BA10" s="689">
        <v>0</v>
      </c>
      <c r="BB10" s="689">
        <v>1</v>
      </c>
      <c r="BC10" s="713">
        <v>2347</v>
      </c>
      <c r="BD10" s="708">
        <f>AS10*1000/BC10</f>
        <v>4964.874307626757</v>
      </c>
      <c r="BE10" s="706">
        <f>BD10/BD50*100%</f>
        <v>1.3211315917134547</v>
      </c>
      <c r="BF10" s="689">
        <v>1</v>
      </c>
      <c r="BG10" s="689">
        <f>BD10*100/BD41</f>
        <v>132.11315917134547</v>
      </c>
      <c r="BH10" s="690">
        <f>BJ10*100/AN10</f>
        <v>71.65462838095907</v>
      </c>
      <c r="BI10" s="690">
        <f>BJ10*100/AT10</f>
        <v>13.978379418680507</v>
      </c>
      <c r="BJ10" s="802">
        <v>1487.8002099999999</v>
      </c>
      <c r="BK10" s="708">
        <f>BJ10*1000/BC10</f>
        <v>633.9157264593098</v>
      </c>
      <c r="BL10" s="706">
        <f>BK10/BK50*100%</f>
        <v>1.674898875658713</v>
      </c>
      <c r="BM10" s="689">
        <v>1</v>
      </c>
      <c r="BN10" s="714">
        <v>0</v>
      </c>
      <c r="BO10" s="715">
        <v>0</v>
      </c>
      <c r="BP10" s="706"/>
      <c r="BQ10" s="706"/>
      <c r="BR10" s="690"/>
      <c r="BS10" s="712">
        <f>AT10</f>
        <v>10643.58153</v>
      </c>
      <c r="BT10" s="707">
        <f>BS10*100%/AT10</f>
        <v>1</v>
      </c>
      <c r="BU10" s="716">
        <v>1</v>
      </c>
      <c r="BV10" s="803">
        <v>0</v>
      </c>
      <c r="BW10" s="844">
        <f>1-(BV10/100)</f>
        <v>1</v>
      </c>
      <c r="BX10" s="804">
        <f>1+2</f>
        <v>3</v>
      </c>
      <c r="BY10" s="1022">
        <f>(1-BX10/12)</f>
        <v>0.75</v>
      </c>
      <c r="BZ10" s="805"/>
      <c r="CA10" s="805"/>
      <c r="CB10" s="805">
        <v>0</v>
      </c>
      <c r="CC10" s="805">
        <v>1</v>
      </c>
      <c r="CD10" s="806">
        <v>0</v>
      </c>
      <c r="CE10" s="806">
        <v>1</v>
      </c>
      <c r="CF10" s="806">
        <v>0</v>
      </c>
      <c r="CG10" s="806">
        <f>1-CF10/1</f>
        <v>1</v>
      </c>
      <c r="CH10" s="806">
        <v>0</v>
      </c>
      <c r="CI10" s="806">
        <f>1-CH10/1</f>
        <v>1</v>
      </c>
      <c r="CJ10" s="806">
        <v>0</v>
      </c>
      <c r="CK10" s="806">
        <v>1</v>
      </c>
      <c r="CL10" s="719">
        <f>BX10+CB10+CD10+CF10</f>
        <v>3</v>
      </c>
      <c r="CM10" s="690">
        <f>1-CL10/9</f>
        <v>0.6666666666666667</v>
      </c>
      <c r="CN10" s="714"/>
      <c r="CO10" s="717">
        <f>1-CN10/6</f>
        <v>1</v>
      </c>
      <c r="CP10" s="708"/>
      <c r="CQ10" s="708">
        <f>1-CP10/11</f>
        <v>1</v>
      </c>
      <c r="CR10" s="691"/>
      <c r="CS10" s="690">
        <f>1-CR10/3</f>
        <v>1</v>
      </c>
      <c r="CT10" s="691"/>
      <c r="CU10" s="709">
        <f>1-CT10/2</f>
        <v>1</v>
      </c>
      <c r="CV10" s="704"/>
      <c r="CW10" s="690">
        <f>1-CV10/5</f>
        <v>1</v>
      </c>
      <c r="CX10" s="804">
        <f>1+2</f>
        <v>3</v>
      </c>
      <c r="CY10" s="1022">
        <f>1-CX10/12</f>
        <v>0.75</v>
      </c>
      <c r="CZ10" s="718"/>
      <c r="DA10" s="717">
        <f>1-CZ10/7</f>
        <v>1</v>
      </c>
      <c r="DB10" s="719">
        <f>CX10+CZ10</f>
        <v>3</v>
      </c>
      <c r="DC10" s="690">
        <f>1-DB10/14</f>
        <v>0.7857142857142857</v>
      </c>
      <c r="DD10" s="806"/>
      <c r="DE10" s="807"/>
      <c r="DF10" s="806">
        <v>0</v>
      </c>
      <c r="DG10" s="807">
        <f>1-DF10/3</f>
        <v>1</v>
      </c>
      <c r="DH10" s="714"/>
      <c r="DI10" s="690">
        <f>1-DH10/30</f>
        <v>1</v>
      </c>
      <c r="DJ10" s="806"/>
      <c r="DK10" s="806"/>
      <c r="DL10" s="806">
        <v>0</v>
      </c>
      <c r="DM10" s="807">
        <f>1-DL10/14</f>
        <v>1</v>
      </c>
      <c r="DN10" s="691">
        <f>DF10+DL10</f>
        <v>0</v>
      </c>
      <c r="DO10" s="688">
        <f>1-DN10/5</f>
        <v>1</v>
      </c>
      <c r="DP10" s="808">
        <f>29+60</f>
        <v>89</v>
      </c>
      <c r="DQ10" s="844">
        <f>1-DP10/(291+303)*100/100</f>
        <v>0.8501683501683501</v>
      </c>
      <c r="DR10" s="808">
        <v>1</v>
      </c>
      <c r="DS10" s="844">
        <f>1-DR10/(9)*100/100</f>
        <v>0.8888888888888888</v>
      </c>
      <c r="DT10" s="720">
        <v>1</v>
      </c>
      <c r="DU10" s="690">
        <v>1</v>
      </c>
      <c r="DV10" s="720"/>
      <c r="DW10" s="720">
        <v>1</v>
      </c>
      <c r="DX10" s="690">
        <v>1</v>
      </c>
      <c r="DY10" s="720"/>
      <c r="DZ10" s="720">
        <v>1</v>
      </c>
      <c r="EA10" s="690">
        <v>1</v>
      </c>
      <c r="EB10" s="720"/>
      <c r="EC10" s="720">
        <v>1</v>
      </c>
      <c r="ED10" s="690">
        <v>1</v>
      </c>
      <c r="EE10" s="720"/>
      <c r="EF10" s="720">
        <v>1</v>
      </c>
      <c r="EG10" s="690">
        <v>1</v>
      </c>
      <c r="EH10" s="720"/>
      <c r="EI10" s="720">
        <f>0+1</f>
        <v>1</v>
      </c>
      <c r="EJ10" s="690">
        <v>1</v>
      </c>
      <c r="EK10" s="720"/>
      <c r="EL10" s="720"/>
      <c r="EM10" s="690"/>
      <c r="EN10" s="708"/>
      <c r="EO10" s="690"/>
      <c r="EP10" s="708">
        <f>D10+F10+J10+N10+R10+V10+Z10+AD10+AI10+AM10+AQ10+AW10+BA10+BB10+BF10+BM10+BR10+BU10+BW10+CM10+DC10+DO10+DQ10+DS10</f>
        <v>18.909516345794028</v>
      </c>
      <c r="EQ10" s="704">
        <f>EQ9+1</f>
        <v>1</v>
      </c>
      <c r="ER10" s="736">
        <f>ER34</f>
        <v>1.6333333333333329</v>
      </c>
      <c r="ES10" s="690" t="s">
        <v>119</v>
      </c>
      <c r="ET10" s="420"/>
      <c r="EU10" s="54">
        <v>24.399098082404016</v>
      </c>
      <c r="EV10" s="54">
        <v>1</v>
      </c>
      <c r="EW10" s="54">
        <v>1.552704073700215</v>
      </c>
      <c r="EX10" s="54" t="s">
        <v>119</v>
      </c>
    </row>
    <row r="11" spans="1:154" s="54" customFormat="1" ht="37.5">
      <c r="A11" s="692">
        <f t="shared" si="0"/>
        <v>2</v>
      </c>
      <c r="B11" s="694" t="s">
        <v>141</v>
      </c>
      <c r="C11" s="704">
        <v>0</v>
      </c>
      <c r="D11" s="690">
        <v>1</v>
      </c>
      <c r="E11" s="704">
        <v>0</v>
      </c>
      <c r="F11" s="690">
        <v>1</v>
      </c>
      <c r="G11" s="705">
        <v>5996</v>
      </c>
      <c r="H11" s="705">
        <v>5301.47</v>
      </c>
      <c r="I11" s="706">
        <f>(G11-H11)/G11*100%</f>
        <v>0.11583222148098728</v>
      </c>
      <c r="J11" s="688">
        <f>100%-I11/20%</f>
        <v>0.4208388925950637</v>
      </c>
      <c r="K11" s="797">
        <v>2453.19153</v>
      </c>
      <c r="L11" s="797">
        <v>2601.12953</v>
      </c>
      <c r="M11" s="798">
        <f>K11/L11*100%</f>
        <v>0.9431254774920801</v>
      </c>
      <c r="N11" s="836">
        <v>1</v>
      </c>
      <c r="O11" s="797">
        <v>2453.19153</v>
      </c>
      <c r="P11" s="797">
        <v>8762.42679</v>
      </c>
      <c r="Q11" s="798">
        <f>O11/P11*100%</f>
        <v>0.2799671356797721</v>
      </c>
      <c r="R11" s="837">
        <f>IF(0%&lt;Q11&gt;45%,Q11/45%,1)</f>
        <v>0.6221491903994936</v>
      </c>
      <c r="S11" s="797">
        <f>K11</f>
        <v>2453.19153</v>
      </c>
      <c r="T11" s="797">
        <v>2085.74412</v>
      </c>
      <c r="U11" s="799">
        <f>S11/T11*100%</f>
        <v>1.176170895785625</v>
      </c>
      <c r="V11" s="838">
        <f>IF(U11&gt;100%,1,0)</f>
        <v>1</v>
      </c>
      <c r="W11" s="797">
        <v>427.549</v>
      </c>
      <c r="X11" s="797">
        <v>351.708</v>
      </c>
      <c r="Y11" s="799">
        <f>X11/W11*100%</f>
        <v>0.8226144839538861</v>
      </c>
      <c r="Z11" s="837">
        <f>IF(0&lt;Y11&gt;100%,1-Y11/100%,0)</f>
        <v>0.17738551604611386</v>
      </c>
      <c r="AA11" s="797">
        <v>351.708</v>
      </c>
      <c r="AB11" s="797">
        <v>1787.751</v>
      </c>
      <c r="AC11" s="799">
        <f>AA11/AB11*100%</f>
        <v>0.19673209524145144</v>
      </c>
      <c r="AD11" s="839">
        <f>IF(0&lt;AC11&gt;100%,1-AC11/100%,0)</f>
        <v>0.8032679047585486</v>
      </c>
      <c r="AE11" s="797">
        <v>631.098</v>
      </c>
      <c r="AF11" s="797">
        <v>2601.12953</v>
      </c>
      <c r="AG11" s="797">
        <v>75.338</v>
      </c>
      <c r="AH11" s="798">
        <f>AE11/(AF11-AG11)*100%</f>
        <v>0.2498614760973563</v>
      </c>
      <c r="AI11" s="838">
        <v>1</v>
      </c>
      <c r="AJ11" s="801">
        <v>-586.73876</v>
      </c>
      <c r="AK11" s="801">
        <v>-1013.17563</v>
      </c>
      <c r="AL11" s="801">
        <f>AJ11-AK11</f>
        <v>426.43687</v>
      </c>
      <c r="AM11" s="836">
        <f>IF(AL11&gt;100%,1,0)</f>
        <v>1</v>
      </c>
      <c r="AN11" s="840">
        <f>(1180026+1059574+9100)/1000</f>
        <v>2248.7</v>
      </c>
      <c r="AO11" s="708">
        <v>2306.3</v>
      </c>
      <c r="AP11" s="706">
        <f>AN11*100%/AO11</f>
        <v>0.9750249317087974</v>
      </c>
      <c r="AQ11" s="709">
        <v>1</v>
      </c>
      <c r="AR11" s="710">
        <f>AT11*100/AT37</f>
        <v>3.0469797961139466</v>
      </c>
      <c r="AS11" s="711">
        <v>10917.58</v>
      </c>
      <c r="AT11" s="843">
        <f>11474281/1000</f>
        <v>11474.281</v>
      </c>
      <c r="AU11" s="841">
        <v>4826.338</v>
      </c>
      <c r="AV11" s="706">
        <f>AU11*100%/AS11</f>
        <v>0.4420703122853233</v>
      </c>
      <c r="AW11" s="689">
        <v>1</v>
      </c>
      <c r="AX11" s="842">
        <f>2232600/1000</f>
        <v>2232.6</v>
      </c>
      <c r="AY11" s="708">
        <f>AX11*100/AN11</f>
        <v>99.28403077333572</v>
      </c>
      <c r="AZ11" s="708">
        <f>AX11*100/AU11</f>
        <v>46.25867479650203</v>
      </c>
      <c r="BA11" s="689">
        <v>0</v>
      </c>
      <c r="BB11" s="689">
        <v>1</v>
      </c>
      <c r="BC11" s="713">
        <v>1808</v>
      </c>
      <c r="BD11" s="708">
        <f>AS11*1000/BC11</f>
        <v>6038.484513274337</v>
      </c>
      <c r="BE11" s="706">
        <f>BD11/BD51*100%</f>
        <v>1.6068146265665548</v>
      </c>
      <c r="BF11" s="689">
        <v>1</v>
      </c>
      <c r="BG11" s="689">
        <f>BD11*100/BD39</f>
        <v>160.68146265665547</v>
      </c>
      <c r="BH11" s="690">
        <f>BJ11*100/AN11</f>
        <v>34.73909369858141</v>
      </c>
      <c r="BI11" s="690">
        <f>BJ11*100/AT11</f>
        <v>6.808077996346786</v>
      </c>
      <c r="BJ11" s="802">
        <v>781.178</v>
      </c>
      <c r="BK11" s="708">
        <f>BJ11*1000/BC11</f>
        <v>432.0674778761062</v>
      </c>
      <c r="BL11" s="706">
        <f>BK11/BK51*100%</f>
        <v>1.1415860227121808</v>
      </c>
      <c r="BM11" s="689">
        <v>1</v>
      </c>
      <c r="BN11" s="714">
        <v>497.1</v>
      </c>
      <c r="BO11" s="715">
        <v>151.24</v>
      </c>
      <c r="BP11" s="706">
        <f>BO11/(BN11+BO11)</f>
        <v>0.2332726655767036</v>
      </c>
      <c r="BQ11" s="706"/>
      <c r="BR11" s="690"/>
      <c r="BS11" s="712">
        <f>AT11</f>
        <v>11474.281</v>
      </c>
      <c r="BT11" s="707">
        <f>BS11*100%/AT11</f>
        <v>1</v>
      </c>
      <c r="BU11" s="716">
        <v>1</v>
      </c>
      <c r="BV11" s="803">
        <v>0</v>
      </c>
      <c r="BW11" s="844">
        <f>1-(BV11/100)</f>
        <v>1</v>
      </c>
      <c r="BX11" s="804">
        <f>3+2</f>
        <v>5</v>
      </c>
      <c r="BY11" s="1022">
        <f>(1-BX11/12)</f>
        <v>0.5833333333333333</v>
      </c>
      <c r="BZ11" s="805"/>
      <c r="CA11" s="805"/>
      <c r="CB11" s="805">
        <v>0</v>
      </c>
      <c r="CC11" s="805">
        <v>1</v>
      </c>
      <c r="CD11" s="806">
        <v>0</v>
      </c>
      <c r="CE11" s="806">
        <v>1</v>
      </c>
      <c r="CF11" s="806">
        <v>0</v>
      </c>
      <c r="CG11" s="806">
        <f>1-CF11/1</f>
        <v>1</v>
      </c>
      <c r="CH11" s="806">
        <v>0</v>
      </c>
      <c r="CI11" s="806">
        <f>1-CH11/1</f>
        <v>1</v>
      </c>
      <c r="CJ11" s="806">
        <v>0</v>
      </c>
      <c r="CK11" s="806">
        <v>1</v>
      </c>
      <c r="CL11" s="719">
        <f>BX11+CB11+CD11+CF11</f>
        <v>5</v>
      </c>
      <c r="CM11" s="690">
        <f>1-CL11/9</f>
        <v>0.4444444444444444</v>
      </c>
      <c r="CN11" s="714"/>
      <c r="CO11" s="717">
        <f>1-CN11/6</f>
        <v>1</v>
      </c>
      <c r="CP11" s="708"/>
      <c r="CQ11" s="708">
        <f>1-CP11/11</f>
        <v>1</v>
      </c>
      <c r="CR11" s="691"/>
      <c r="CS11" s="690">
        <f>1-CR11/3</f>
        <v>1</v>
      </c>
      <c r="CT11" s="691"/>
      <c r="CU11" s="709">
        <f>1-CT11/2</f>
        <v>1</v>
      </c>
      <c r="CV11" s="704"/>
      <c r="CW11" s="690">
        <f>1-CV11/5</f>
        <v>1</v>
      </c>
      <c r="CX11" s="804">
        <f>4+2</f>
        <v>6</v>
      </c>
      <c r="CY11" s="1022">
        <f>1-CX11/12</f>
        <v>0.5</v>
      </c>
      <c r="CZ11" s="718"/>
      <c r="DA11" s="717">
        <f>1-CZ11/7</f>
        <v>1</v>
      </c>
      <c r="DB11" s="719">
        <f>CX11+CZ11</f>
        <v>6</v>
      </c>
      <c r="DC11" s="690">
        <f>1-DB11/14</f>
        <v>0.5714285714285714</v>
      </c>
      <c r="DD11" s="806"/>
      <c r="DE11" s="807"/>
      <c r="DF11" s="806">
        <v>0</v>
      </c>
      <c r="DG11" s="807">
        <f>1-DF11/3</f>
        <v>1</v>
      </c>
      <c r="DH11" s="714"/>
      <c r="DI11" s="690">
        <f>1-DH11/30</f>
        <v>1</v>
      </c>
      <c r="DJ11" s="806"/>
      <c r="DK11" s="806"/>
      <c r="DL11" s="806">
        <v>0</v>
      </c>
      <c r="DM11" s="807">
        <f>1-DL11/14</f>
        <v>1</v>
      </c>
      <c r="DN11" s="691">
        <f>DF11+DL11</f>
        <v>0</v>
      </c>
      <c r="DO11" s="688">
        <f>1-DN11/5</f>
        <v>1</v>
      </c>
      <c r="DP11" s="808">
        <f>46+15</f>
        <v>61</v>
      </c>
      <c r="DQ11" s="844">
        <f>1-DP11/(485+370)*100/100</f>
        <v>0.928654970760234</v>
      </c>
      <c r="DR11" s="808">
        <v>1</v>
      </c>
      <c r="DS11" s="844">
        <f>1-DR11/(9)*100/100</f>
        <v>0.8888888888888888</v>
      </c>
      <c r="DT11" s="720">
        <v>1</v>
      </c>
      <c r="DU11" s="690">
        <v>1</v>
      </c>
      <c r="DV11" s="720"/>
      <c r="DW11" s="720">
        <v>1</v>
      </c>
      <c r="DX11" s="690">
        <v>1</v>
      </c>
      <c r="DY11" s="720"/>
      <c r="DZ11" s="720">
        <v>1</v>
      </c>
      <c r="EA11" s="690">
        <v>1</v>
      </c>
      <c r="EB11" s="720"/>
      <c r="EC11" s="720">
        <v>1</v>
      </c>
      <c r="ED11" s="690">
        <v>1</v>
      </c>
      <c r="EE11" s="720"/>
      <c r="EF11" s="720">
        <v>1</v>
      </c>
      <c r="EG11" s="690">
        <v>1</v>
      </c>
      <c r="EH11" s="720"/>
      <c r="EI11" s="720">
        <v>1</v>
      </c>
      <c r="EJ11" s="690">
        <v>1</v>
      </c>
      <c r="EK11" s="720"/>
      <c r="EL11" s="720"/>
      <c r="EM11" s="690"/>
      <c r="EN11" s="708"/>
      <c r="EO11" s="690"/>
      <c r="EP11" s="708">
        <f>D11+F11+J11+N11+R11+V11+Z11+AD11+AI11+AM11+AQ11+AW11+BA11+BB11+BF11+BM11+BR11+BU11+BW11+CM11+DC11+DO11+DQ11+DS11</f>
        <v>18.85705837932136</v>
      </c>
      <c r="EQ11" s="704">
        <f>EQ10+1</f>
        <v>2</v>
      </c>
      <c r="ER11" s="721">
        <f>ER42</f>
        <v>1.6333333333333329</v>
      </c>
      <c r="ES11" s="690" t="s">
        <v>119</v>
      </c>
      <c r="ET11" s="80"/>
      <c r="EU11" s="54">
        <v>23.68286464453358</v>
      </c>
      <c r="EV11" s="54">
        <v>2</v>
      </c>
      <c r="EW11" s="54">
        <v>1.552704073700215</v>
      </c>
      <c r="EX11" s="54" t="s">
        <v>119</v>
      </c>
    </row>
    <row r="12" spans="1:154" s="54" customFormat="1" ht="18.75">
      <c r="A12" s="692">
        <f t="shared" si="0"/>
        <v>3</v>
      </c>
      <c r="B12" s="694" t="s">
        <v>126</v>
      </c>
      <c r="C12" s="704">
        <v>0</v>
      </c>
      <c r="D12" s="690">
        <v>1</v>
      </c>
      <c r="E12" s="704">
        <v>0</v>
      </c>
      <c r="F12" s="690">
        <v>1</v>
      </c>
      <c r="G12" s="705">
        <v>9138.9</v>
      </c>
      <c r="H12" s="705">
        <v>10106.00717</v>
      </c>
      <c r="I12" s="706">
        <f>(G12-H12)/G12*100%</f>
        <v>-0.10582314830012378</v>
      </c>
      <c r="J12" s="693">
        <f>100%+I12/20%</f>
        <v>0.4708842584993811</v>
      </c>
      <c r="K12" s="797">
        <v>5253.39929</v>
      </c>
      <c r="L12" s="797">
        <v>7764.11499</v>
      </c>
      <c r="M12" s="798">
        <f>K12/L12*100%</f>
        <v>0.6766256420424294</v>
      </c>
      <c r="N12" s="836">
        <v>0.8</v>
      </c>
      <c r="O12" s="797">
        <v>5253.39929</v>
      </c>
      <c r="P12" s="797">
        <v>10977.0702</v>
      </c>
      <c r="Q12" s="798">
        <f>O12/P12*100%</f>
        <v>0.4785793653756537</v>
      </c>
      <c r="R12" s="837">
        <v>1</v>
      </c>
      <c r="S12" s="797">
        <f>K12</f>
        <v>5253.39929</v>
      </c>
      <c r="T12" s="797">
        <v>3846.45939</v>
      </c>
      <c r="U12" s="799">
        <f>S12/T12*100%</f>
        <v>1.365775316296788</v>
      </c>
      <c r="V12" s="838">
        <f>IF(U12&gt;100%,1,0)</f>
        <v>1</v>
      </c>
      <c r="W12" s="797">
        <v>2015.331</v>
      </c>
      <c r="X12" s="797">
        <v>1884.627</v>
      </c>
      <c r="Y12" s="800">
        <f>X12/W12*100%</f>
        <v>0.9351451448918316</v>
      </c>
      <c r="Z12" s="837">
        <f>IF(0&lt;Y12&gt;100%,1-Y12/100%,0)</f>
        <v>0.06485485510816835</v>
      </c>
      <c r="AA12" s="797">
        <v>1884.627</v>
      </c>
      <c r="AB12" s="797">
        <v>4903.116</v>
      </c>
      <c r="AC12" s="799">
        <f>AA12/AB12*100%</f>
        <v>0.38437332504472665</v>
      </c>
      <c r="AD12" s="839">
        <f>IF(0&lt;AC12&gt;100%,1-AC12/100%,0)</f>
        <v>0.6156266749552733</v>
      </c>
      <c r="AE12" s="797">
        <v>2496.1657</v>
      </c>
      <c r="AF12" s="797">
        <v>7764.11499</v>
      </c>
      <c r="AG12" s="797">
        <v>356.812</v>
      </c>
      <c r="AH12" s="798">
        <f>AE12/(AF12-AG12)*100%</f>
        <v>0.336987119788386</v>
      </c>
      <c r="AI12" s="838">
        <v>0.8</v>
      </c>
      <c r="AJ12" s="801">
        <v>-264.79737</v>
      </c>
      <c r="AK12" s="801">
        <v>-775.18697</v>
      </c>
      <c r="AL12" s="801">
        <f>AJ12-AK12</f>
        <v>510.3896</v>
      </c>
      <c r="AM12" s="836">
        <f>IF(AL12&gt;100%,1,0)</f>
        <v>1</v>
      </c>
      <c r="AN12" s="840">
        <f>(1016800+2277356)/1000</f>
        <v>3294.156</v>
      </c>
      <c r="AO12" s="708">
        <v>3588.1</v>
      </c>
      <c r="AP12" s="706">
        <f>AN12*100%/AO12</f>
        <v>0.9180780914690226</v>
      </c>
      <c r="AQ12" s="709">
        <v>1</v>
      </c>
      <c r="AR12" s="710">
        <f>AT12*100/AT38</f>
        <v>4.405822649941572</v>
      </c>
      <c r="AS12" s="711">
        <v>17046.79</v>
      </c>
      <c r="AT12" s="843">
        <f>16591395.58/1000</f>
        <v>16591.39558</v>
      </c>
      <c r="AU12" s="841">
        <v>6519.2715</v>
      </c>
      <c r="AV12" s="706">
        <f>AU12*100%/AS12</f>
        <v>0.3824339655735772</v>
      </c>
      <c r="AW12" s="689">
        <v>1</v>
      </c>
      <c r="AX12" s="842">
        <f>3231982.5/1000</f>
        <v>3231.9825</v>
      </c>
      <c r="AY12" s="708">
        <f>AX12*100/AN12</f>
        <v>98.11261215315851</v>
      </c>
      <c r="AZ12" s="708">
        <f>AX12*100/AU12</f>
        <v>49.57582300415008</v>
      </c>
      <c r="BA12" s="689">
        <v>0</v>
      </c>
      <c r="BB12" s="689">
        <v>1</v>
      </c>
      <c r="BC12" s="713">
        <v>5321</v>
      </c>
      <c r="BD12" s="708">
        <f>AS12*1000/BC12</f>
        <v>3203.681638789701</v>
      </c>
      <c r="BE12" s="706">
        <f>BD12/BD52*100%</f>
        <v>0.8524858356022638</v>
      </c>
      <c r="BF12" s="689">
        <v>0.8</v>
      </c>
      <c r="BG12" s="689">
        <f>BD12*100/BD43</f>
        <v>85.24858356022636</v>
      </c>
      <c r="BH12" s="690">
        <f>BJ12*100/AN12</f>
        <v>81.1708067256074</v>
      </c>
      <c r="BI12" s="690">
        <f>BJ12*100/AT12</f>
        <v>16.116142774771934</v>
      </c>
      <c r="BJ12" s="802">
        <v>2673.893</v>
      </c>
      <c r="BK12" s="708">
        <f>BJ12*1000/BC12</f>
        <v>502.5170080811877</v>
      </c>
      <c r="BL12" s="706">
        <f>BK12/BK52*100%</f>
        <v>1.3277240754628719</v>
      </c>
      <c r="BM12" s="689">
        <v>1</v>
      </c>
      <c r="BN12" s="714">
        <v>0</v>
      </c>
      <c r="BO12" s="715">
        <v>0</v>
      </c>
      <c r="BP12" s="706"/>
      <c r="BQ12" s="706"/>
      <c r="BR12" s="690"/>
      <c r="BS12" s="712">
        <f>AT12</f>
        <v>16591.39558</v>
      </c>
      <c r="BT12" s="707">
        <f>BS12*100%/AT12</f>
        <v>1</v>
      </c>
      <c r="BU12" s="716">
        <v>1</v>
      </c>
      <c r="BV12" s="803">
        <v>0</v>
      </c>
      <c r="BW12" s="844">
        <f>1-(BV12/100)</f>
        <v>1</v>
      </c>
      <c r="BX12" s="804">
        <f>1+2</f>
        <v>3</v>
      </c>
      <c r="BY12" s="1022">
        <f>(1-BX12/12)</f>
        <v>0.75</v>
      </c>
      <c r="BZ12" s="805"/>
      <c r="CA12" s="805"/>
      <c r="CB12" s="805">
        <v>1</v>
      </c>
      <c r="CC12" s="805">
        <v>0</v>
      </c>
      <c r="CD12" s="806">
        <v>0</v>
      </c>
      <c r="CE12" s="806">
        <v>1</v>
      </c>
      <c r="CF12" s="806">
        <v>0</v>
      </c>
      <c r="CG12" s="806">
        <f>1-CF12/1</f>
        <v>1</v>
      </c>
      <c r="CH12" s="806">
        <v>0</v>
      </c>
      <c r="CI12" s="806">
        <f>1-CH12/1</f>
        <v>1</v>
      </c>
      <c r="CJ12" s="806">
        <v>0</v>
      </c>
      <c r="CK12" s="806">
        <v>1</v>
      </c>
      <c r="CL12" s="719">
        <f>BX12+CB12+CD12+CF12</f>
        <v>4</v>
      </c>
      <c r="CM12" s="690">
        <f>1-CL12/9</f>
        <v>0.5555555555555556</v>
      </c>
      <c r="CN12" s="714"/>
      <c r="CO12" s="717">
        <f>1-CN12/6</f>
        <v>1</v>
      </c>
      <c r="CP12" s="708"/>
      <c r="CQ12" s="708">
        <f>1-CP12/11</f>
        <v>1</v>
      </c>
      <c r="CR12" s="691"/>
      <c r="CS12" s="690">
        <f>1-CR12/3</f>
        <v>1</v>
      </c>
      <c r="CT12" s="691"/>
      <c r="CU12" s="709">
        <f>1-CT12/2</f>
        <v>1</v>
      </c>
      <c r="CV12" s="704"/>
      <c r="CW12" s="690">
        <f>1-CV12/5</f>
        <v>1</v>
      </c>
      <c r="CX12" s="804">
        <f>1+2</f>
        <v>3</v>
      </c>
      <c r="CY12" s="1022">
        <f>1-CX12/12</f>
        <v>0.75</v>
      </c>
      <c r="CZ12" s="718"/>
      <c r="DA12" s="717">
        <f>1-CZ12/7</f>
        <v>1</v>
      </c>
      <c r="DB12" s="719">
        <f>CX12+CZ12</f>
        <v>3</v>
      </c>
      <c r="DC12" s="690">
        <f>1-DB12/14</f>
        <v>0.7857142857142857</v>
      </c>
      <c r="DD12" s="806"/>
      <c r="DE12" s="807"/>
      <c r="DF12" s="806">
        <v>1</v>
      </c>
      <c r="DG12" s="807">
        <f>1-DF12/3</f>
        <v>0.6666666666666667</v>
      </c>
      <c r="DH12" s="714"/>
      <c r="DI12" s="690">
        <f>1-DH12/30</f>
        <v>1</v>
      </c>
      <c r="DJ12" s="806"/>
      <c r="DK12" s="806"/>
      <c r="DL12" s="806">
        <v>2</v>
      </c>
      <c r="DM12" s="807">
        <f>1-DL12/14</f>
        <v>0.8571428571428572</v>
      </c>
      <c r="DN12" s="691">
        <f>DF12+DL12</f>
        <v>3</v>
      </c>
      <c r="DO12" s="688">
        <f>1-DN12/5</f>
        <v>0.4</v>
      </c>
      <c r="DP12" s="808">
        <f>58+101</f>
        <v>159</v>
      </c>
      <c r="DQ12" s="844">
        <f>1-DP12/(578+508)*100/100</f>
        <v>0.8535911602209945</v>
      </c>
      <c r="DR12" s="808">
        <v>1</v>
      </c>
      <c r="DS12" s="844">
        <f>1-DR12/(9)*100/100</f>
        <v>0.8888888888888888</v>
      </c>
      <c r="DT12" s="720">
        <v>1</v>
      </c>
      <c r="DU12" s="690">
        <v>1</v>
      </c>
      <c r="DV12" s="720"/>
      <c r="DW12" s="720">
        <v>1</v>
      </c>
      <c r="DX12" s="690">
        <v>1</v>
      </c>
      <c r="DY12" s="720"/>
      <c r="DZ12" s="720">
        <v>1</v>
      </c>
      <c r="EA12" s="690">
        <v>1</v>
      </c>
      <c r="EB12" s="720"/>
      <c r="EC12" s="720">
        <v>1</v>
      </c>
      <c r="ED12" s="690">
        <v>1</v>
      </c>
      <c r="EE12" s="720"/>
      <c r="EF12" s="720">
        <v>1</v>
      </c>
      <c r="EG12" s="690">
        <v>1</v>
      </c>
      <c r="EH12" s="720"/>
      <c r="EI12" s="720">
        <v>1</v>
      </c>
      <c r="EJ12" s="690">
        <v>1</v>
      </c>
      <c r="EK12" s="720"/>
      <c r="EL12" s="720"/>
      <c r="EM12" s="690"/>
      <c r="EN12" s="708"/>
      <c r="EO12" s="690"/>
      <c r="EP12" s="708">
        <f>D12+F12+J12+N12+R12+V12+Z12+AD12+AI12+AM12+AQ12+AW12+BA12+BB12+BF12+BM12+BR12+BU12+BW12+CM12+DC12+DO12+DQ12+DS12</f>
        <v>18.035115678942546</v>
      </c>
      <c r="EQ12" s="704">
        <v>1</v>
      </c>
      <c r="ER12" s="736">
        <f>ER36</f>
        <v>1.6333333333333329</v>
      </c>
      <c r="ES12" s="708" t="s">
        <v>117</v>
      </c>
      <c r="ET12" s="80"/>
      <c r="EU12" s="54">
        <v>23.403887077031523</v>
      </c>
      <c r="EV12" s="54">
        <v>3</v>
      </c>
      <c r="EW12" s="54">
        <v>1.552704073700215</v>
      </c>
      <c r="EX12" s="54" t="s">
        <v>119</v>
      </c>
    </row>
    <row r="13" spans="1:154" s="54" customFormat="1" ht="18.75">
      <c r="A13" s="692">
        <f t="shared" si="0"/>
        <v>4</v>
      </c>
      <c r="B13" s="694" t="s">
        <v>138</v>
      </c>
      <c r="C13" s="704">
        <v>0</v>
      </c>
      <c r="D13" s="690">
        <v>1</v>
      </c>
      <c r="E13" s="704">
        <v>0</v>
      </c>
      <c r="F13" s="690">
        <v>1</v>
      </c>
      <c r="G13" s="705">
        <v>12568.38899</v>
      </c>
      <c r="H13" s="705">
        <v>11657.67713</v>
      </c>
      <c r="I13" s="706">
        <f>(G13-H13)/G13*100%</f>
        <v>0.07246050871950292</v>
      </c>
      <c r="J13" s="688">
        <v>0.6</v>
      </c>
      <c r="K13" s="797">
        <v>5573.91414</v>
      </c>
      <c r="L13" s="797">
        <v>11685.66814</v>
      </c>
      <c r="M13" s="798">
        <f>K13/L13*100%</f>
        <v>0.4769872011785541</v>
      </c>
      <c r="N13" s="836">
        <v>0.5</v>
      </c>
      <c r="O13" s="797">
        <v>5573.91414</v>
      </c>
      <c r="P13" s="797">
        <v>13572.77385</v>
      </c>
      <c r="Q13" s="798">
        <f>O13/P13*100%</f>
        <v>0.41066875508280865</v>
      </c>
      <c r="R13" s="837">
        <f>IF(0%&lt;Q13&gt;45%,Q13/45%,1)</f>
        <v>0.9125972335173526</v>
      </c>
      <c r="S13" s="797">
        <f>K13</f>
        <v>5573.91414</v>
      </c>
      <c r="T13" s="797">
        <v>4933.71197</v>
      </c>
      <c r="U13" s="799">
        <f>S13/T13*100%</f>
        <v>1.1297607509098266</v>
      </c>
      <c r="V13" s="838">
        <f>IF(U13&gt;100%,1,0)</f>
        <v>1</v>
      </c>
      <c r="W13" s="797">
        <v>590.891</v>
      </c>
      <c r="X13" s="797">
        <v>449.97</v>
      </c>
      <c r="Y13" s="800">
        <f>X13/W13*100%</f>
        <v>0.7615110062600379</v>
      </c>
      <c r="Z13" s="837">
        <f>IF(0&lt;Y13&gt;100%,1-Y13/100%,0)</f>
        <v>0.23848899373996213</v>
      </c>
      <c r="AA13" s="797">
        <v>449.97</v>
      </c>
      <c r="AB13" s="797">
        <v>4835.115</v>
      </c>
      <c r="AC13" s="799">
        <f>AA13/AB13*100%</f>
        <v>0.0930629364554928</v>
      </c>
      <c r="AD13" s="839">
        <f>IF(0&lt;AC13&gt;100%,1-AC13/100%,0)</f>
        <v>0.9069370635445072</v>
      </c>
      <c r="AE13" s="797">
        <v>6111.754</v>
      </c>
      <c r="AF13" s="797">
        <v>11685.66814</v>
      </c>
      <c r="AG13" s="797">
        <v>340.124</v>
      </c>
      <c r="AH13" s="798">
        <f>AE13/(AF13-AG13)*100%</f>
        <v>0.5386920119989943</v>
      </c>
      <c r="AI13" s="838">
        <v>0.5</v>
      </c>
      <c r="AJ13" s="801">
        <v>-3286.95855</v>
      </c>
      <c r="AK13" s="801">
        <v>-9380.21263</v>
      </c>
      <c r="AL13" s="801">
        <f>AJ13-AK13</f>
        <v>6093.254080000001</v>
      </c>
      <c r="AM13" s="836">
        <f>IF(AL13&gt;100%,1,0)</f>
        <v>1</v>
      </c>
      <c r="AN13" s="840">
        <f>(935300+2674000)/1000</f>
        <v>3609.3</v>
      </c>
      <c r="AO13" s="708">
        <v>3724.6</v>
      </c>
      <c r="AP13" s="706">
        <f>AN13*100%/AO13</f>
        <v>0.9690436556945713</v>
      </c>
      <c r="AQ13" s="709">
        <v>1</v>
      </c>
      <c r="AR13" s="710">
        <f>AT13*100/AT39</f>
        <v>6.469203660930402</v>
      </c>
      <c r="AS13" s="711">
        <v>25262.69</v>
      </c>
      <c r="AT13" s="843">
        <f>24361651.74/1000</f>
        <v>24361.651739999998</v>
      </c>
      <c r="AU13" s="841">
        <v>7936.343</v>
      </c>
      <c r="AV13" s="706">
        <f>AU13*100%/AS13</f>
        <v>0.31415272878699774</v>
      </c>
      <c r="AW13" s="689">
        <v>1</v>
      </c>
      <c r="AX13" s="842">
        <f>3592730/1000</f>
        <v>3592.73</v>
      </c>
      <c r="AY13" s="708">
        <f>AX13*100/AN13</f>
        <v>99.54090820934807</v>
      </c>
      <c r="AZ13" s="708">
        <f>AX13*100/AU13</f>
        <v>45.26933878739868</v>
      </c>
      <c r="BA13" s="689">
        <v>0</v>
      </c>
      <c r="BB13" s="689">
        <v>1</v>
      </c>
      <c r="BC13" s="713">
        <v>5618</v>
      </c>
      <c r="BD13" s="708">
        <f>AS13*1000/BC13</f>
        <v>4496.740833036668</v>
      </c>
      <c r="BE13" s="706">
        <f>BD13/BD53*100%</f>
        <v>1.1965632977146514</v>
      </c>
      <c r="BF13" s="689">
        <v>1</v>
      </c>
      <c r="BG13" s="689">
        <f>BD13*100/BD40</f>
        <v>119.65632977146514</v>
      </c>
      <c r="BH13" s="690">
        <f>BJ13*100/AN13</f>
        <v>119.65289197351287</v>
      </c>
      <c r="BI13" s="690">
        <f>BJ13*100/AT13</f>
        <v>17.727171688072087</v>
      </c>
      <c r="BJ13" s="802">
        <v>4318.63183</v>
      </c>
      <c r="BK13" s="708">
        <f>BJ13*1000/BC13</f>
        <v>768.7133908864365</v>
      </c>
      <c r="BL13" s="706">
        <f>BK13/BK53*100%</f>
        <v>2.0310541927880905</v>
      </c>
      <c r="BM13" s="689">
        <v>1</v>
      </c>
      <c r="BN13" s="714">
        <v>0</v>
      </c>
      <c r="BO13" s="715">
        <v>0</v>
      </c>
      <c r="BP13" s="706"/>
      <c r="BQ13" s="706"/>
      <c r="BR13" s="690"/>
      <c r="BS13" s="712">
        <f>AT13</f>
        <v>24361.651739999998</v>
      </c>
      <c r="BT13" s="707">
        <f>BS13*100%/AT13</f>
        <v>1</v>
      </c>
      <c r="BU13" s="716">
        <v>1</v>
      </c>
      <c r="BV13" s="803">
        <v>13.016938043604211</v>
      </c>
      <c r="BW13" s="844">
        <f>1-(BV13/100)</f>
        <v>0.8698306195639579</v>
      </c>
      <c r="BX13" s="804">
        <f>1+2</f>
        <v>3</v>
      </c>
      <c r="BY13" s="1022">
        <f>(1-BX13/12)</f>
        <v>0.75</v>
      </c>
      <c r="BZ13" s="805"/>
      <c r="CA13" s="805"/>
      <c r="CB13" s="805">
        <v>1</v>
      </c>
      <c r="CC13" s="805">
        <v>0</v>
      </c>
      <c r="CD13" s="806">
        <v>0</v>
      </c>
      <c r="CE13" s="806">
        <v>1</v>
      </c>
      <c r="CF13" s="806">
        <v>0</v>
      </c>
      <c r="CG13" s="806">
        <f>1-CF13/1</f>
        <v>1</v>
      </c>
      <c r="CH13" s="806">
        <v>0</v>
      </c>
      <c r="CI13" s="806">
        <f>1-CH13/1</f>
        <v>1</v>
      </c>
      <c r="CJ13" s="806">
        <v>1</v>
      </c>
      <c r="CK13" s="806">
        <v>0</v>
      </c>
      <c r="CL13" s="719">
        <f>BX13+CB13+CD13+CF13</f>
        <v>4</v>
      </c>
      <c r="CM13" s="690">
        <f>1-CL13/9</f>
        <v>0.5555555555555556</v>
      </c>
      <c r="CN13" s="714"/>
      <c r="CO13" s="717">
        <f>1-CN13/6</f>
        <v>1</v>
      </c>
      <c r="CP13" s="708"/>
      <c r="CQ13" s="708">
        <f>1-CP13/11</f>
        <v>1</v>
      </c>
      <c r="CR13" s="691"/>
      <c r="CS13" s="690">
        <f>1-CR13/3</f>
        <v>1</v>
      </c>
      <c r="CT13" s="691"/>
      <c r="CU13" s="709">
        <f>1-CT13/2</f>
        <v>1</v>
      </c>
      <c r="CV13" s="704"/>
      <c r="CW13" s="690">
        <f>1-CV13/5</f>
        <v>1</v>
      </c>
      <c r="CX13" s="804">
        <f>2+2</f>
        <v>4</v>
      </c>
      <c r="CY13" s="1022">
        <f>1-CX13/12</f>
        <v>0.6666666666666667</v>
      </c>
      <c r="CZ13" s="718"/>
      <c r="DA13" s="717">
        <f>1-CZ13/7</f>
        <v>1</v>
      </c>
      <c r="DB13" s="719">
        <f>CX13+CZ13</f>
        <v>4</v>
      </c>
      <c r="DC13" s="690">
        <f>1-DB13/14</f>
        <v>0.7142857142857143</v>
      </c>
      <c r="DD13" s="806"/>
      <c r="DE13" s="807"/>
      <c r="DF13" s="806">
        <v>0</v>
      </c>
      <c r="DG13" s="807">
        <f>1-DF13/3</f>
        <v>1</v>
      </c>
      <c r="DH13" s="714"/>
      <c r="DI13" s="690">
        <f>1-DH13/30</f>
        <v>1</v>
      </c>
      <c r="DJ13" s="806"/>
      <c r="DK13" s="806"/>
      <c r="DL13" s="806">
        <v>0</v>
      </c>
      <c r="DM13" s="807">
        <f>1-DL13/14</f>
        <v>1</v>
      </c>
      <c r="DN13" s="691">
        <f>DF13+DL13</f>
        <v>0</v>
      </c>
      <c r="DO13" s="688">
        <f>1-DN13/5</f>
        <v>1</v>
      </c>
      <c r="DP13" s="808">
        <f>61+57</f>
        <v>118</v>
      </c>
      <c r="DQ13" s="844">
        <f>1-DP13/(618+575)*100/100</f>
        <v>0.901089689857502</v>
      </c>
      <c r="DR13" s="808">
        <v>7</v>
      </c>
      <c r="DS13" s="844">
        <f>1-DR13/(9)*100/100</f>
        <v>0.2222222222222221</v>
      </c>
      <c r="DT13" s="720">
        <v>1</v>
      </c>
      <c r="DU13" s="690">
        <v>1</v>
      </c>
      <c r="DV13" s="720"/>
      <c r="DW13" s="720">
        <v>1</v>
      </c>
      <c r="DX13" s="690">
        <v>1</v>
      </c>
      <c r="DY13" s="720"/>
      <c r="DZ13" s="720">
        <v>1</v>
      </c>
      <c r="EA13" s="690">
        <v>1</v>
      </c>
      <c r="EB13" s="720"/>
      <c r="EC13" s="720">
        <v>1</v>
      </c>
      <c r="ED13" s="690">
        <v>1</v>
      </c>
      <c r="EE13" s="720"/>
      <c r="EF13" s="720">
        <v>1</v>
      </c>
      <c r="EG13" s="690">
        <v>1</v>
      </c>
      <c r="EH13" s="720"/>
      <c r="EI13" s="720">
        <v>1</v>
      </c>
      <c r="EJ13" s="690">
        <v>1</v>
      </c>
      <c r="EK13" s="720"/>
      <c r="EL13" s="720"/>
      <c r="EM13" s="690"/>
      <c r="EN13" s="708"/>
      <c r="EO13" s="690"/>
      <c r="EP13" s="708">
        <f>D13+F13+J13+N13+R13+V13+Z13+AD13+AI13+AM13+AQ13+AW13+BA13+BB13+BF13+BM13+BR13+BU13+BW13+CM13+DC13+DO13+DQ13+DS13</f>
        <v>17.921007092286775</v>
      </c>
      <c r="EQ13" s="704">
        <f>EQ12+1</f>
        <v>2</v>
      </c>
      <c r="ER13" s="721">
        <f>ER37</f>
        <v>1.6333333333333329</v>
      </c>
      <c r="ES13" s="708" t="s">
        <v>117</v>
      </c>
      <c r="ET13" s="80"/>
      <c r="EU13" s="54">
        <v>23.200326869018454</v>
      </c>
      <c r="EV13" s="54">
        <v>4</v>
      </c>
      <c r="EW13" s="54">
        <v>1.552704073700215</v>
      </c>
      <c r="EX13" s="54" t="s">
        <v>117</v>
      </c>
    </row>
    <row r="14" spans="1:154" s="54" customFormat="1" ht="18.75">
      <c r="A14" s="692">
        <f t="shared" si="0"/>
        <v>5</v>
      </c>
      <c r="B14" s="695" t="s">
        <v>129</v>
      </c>
      <c r="C14" s="722">
        <v>0</v>
      </c>
      <c r="D14" s="698">
        <v>1</v>
      </c>
      <c r="E14" s="722">
        <v>0</v>
      </c>
      <c r="F14" s="698">
        <v>1</v>
      </c>
      <c r="G14" s="703">
        <v>6275</v>
      </c>
      <c r="H14" s="703">
        <v>5428.92876</v>
      </c>
      <c r="I14" s="723">
        <f>(G14-H14)/G14*100%</f>
        <v>0.13483207011952195</v>
      </c>
      <c r="J14" s="696">
        <v>0.3</v>
      </c>
      <c r="K14" s="797">
        <v>2282.11576</v>
      </c>
      <c r="L14" s="797">
        <v>4188.17676</v>
      </c>
      <c r="M14" s="798">
        <f>K14/L14*100%</f>
        <v>0.5448948052517248</v>
      </c>
      <c r="N14" s="836">
        <v>0.8</v>
      </c>
      <c r="O14" s="797">
        <v>2282.11576</v>
      </c>
      <c r="P14" s="797">
        <v>4817.38762</v>
      </c>
      <c r="Q14" s="798">
        <f>O14/P14*100%</f>
        <v>0.4737247529190935</v>
      </c>
      <c r="R14" s="837">
        <v>1</v>
      </c>
      <c r="S14" s="797">
        <f>K14</f>
        <v>2282.11576</v>
      </c>
      <c r="T14" s="797">
        <v>2037.02135</v>
      </c>
      <c r="U14" s="799">
        <f>S14/T14*100%</f>
        <v>1.1203200005733862</v>
      </c>
      <c r="V14" s="838">
        <f>IF(U14&gt;100%,1,0)</f>
        <v>1</v>
      </c>
      <c r="W14" s="797">
        <v>424.149</v>
      </c>
      <c r="X14" s="797">
        <v>324.2</v>
      </c>
      <c r="Y14" s="800">
        <f>X14/W14*100%</f>
        <v>0.7643540359637768</v>
      </c>
      <c r="Z14" s="837">
        <f>IF(0&lt;Y14&gt;100%,1-Y14/100%,0)</f>
        <v>0.23564596403622318</v>
      </c>
      <c r="AA14" s="797">
        <v>324.2</v>
      </c>
      <c r="AB14" s="797">
        <v>1625.864</v>
      </c>
      <c r="AC14" s="799">
        <f>AA14/AB14*100%</f>
        <v>0.1994016719725635</v>
      </c>
      <c r="AD14" s="839">
        <f>IF(0&lt;AC14&gt;100%,1-AC14/100%,0)</f>
        <v>0.8005983280274365</v>
      </c>
      <c r="AE14" s="797">
        <v>1905.061</v>
      </c>
      <c r="AF14" s="797">
        <v>4188.17676</v>
      </c>
      <c r="AG14" s="797">
        <v>240.001</v>
      </c>
      <c r="AH14" s="798">
        <f>AE14/(AF14-AG14)*100%</f>
        <v>0.48251676617355044</v>
      </c>
      <c r="AI14" s="838">
        <v>0.8</v>
      </c>
      <c r="AJ14" s="801">
        <v>-1048.18538</v>
      </c>
      <c r="AK14" s="801">
        <v>-695.54625</v>
      </c>
      <c r="AL14" s="801">
        <f>AJ14-AK14</f>
        <v>-352.6391299999999</v>
      </c>
      <c r="AM14" s="836">
        <f>IF(AL14&gt;100%,1,0)</f>
        <v>0</v>
      </c>
      <c r="AN14" s="840">
        <f>(817825.26+1773689.54)/1000</f>
        <v>2591.5148</v>
      </c>
      <c r="AO14" s="727">
        <v>3406.2</v>
      </c>
      <c r="AP14" s="723">
        <f>AN14*100%/AO14</f>
        <v>0.7608228524455405</v>
      </c>
      <c r="AQ14" s="746">
        <v>1</v>
      </c>
      <c r="AR14" s="747">
        <f>AT14*100/AT39</f>
        <v>3.272864121609957</v>
      </c>
      <c r="AS14" s="725">
        <v>12754.16</v>
      </c>
      <c r="AT14" s="843">
        <f>12324913.56/1000</f>
        <v>12324.91356</v>
      </c>
      <c r="AU14" s="841">
        <v>4444.931</v>
      </c>
      <c r="AV14" s="723">
        <f>AU14*100%/AS14</f>
        <v>0.348508329831208</v>
      </c>
      <c r="AW14" s="697">
        <v>1</v>
      </c>
      <c r="AX14" s="842">
        <f>2548414.8/1000</f>
        <v>2548.4148</v>
      </c>
      <c r="AY14" s="727">
        <f>AX14*100/AN14</f>
        <v>98.33688003634015</v>
      </c>
      <c r="AZ14" s="727">
        <f>AX14*100/AU14</f>
        <v>57.33305646364365</v>
      </c>
      <c r="BA14" s="697">
        <v>0</v>
      </c>
      <c r="BB14" s="697">
        <v>1</v>
      </c>
      <c r="BC14" s="728">
        <v>4353</v>
      </c>
      <c r="BD14" s="727">
        <f>AS14*1000/BC14</f>
        <v>2929.9701355387087</v>
      </c>
      <c r="BE14" s="723">
        <f>BD14/BD53*100%</f>
        <v>0.7796523877534868</v>
      </c>
      <c r="BF14" s="697">
        <v>0.7</v>
      </c>
      <c r="BG14" s="697">
        <f>BD14*100/BD40</f>
        <v>77.96523877534868</v>
      </c>
      <c r="BH14" s="698">
        <f>BJ14*100/AN14</f>
        <v>66.9492607180943</v>
      </c>
      <c r="BI14" s="698">
        <f>BJ14*100/AT14</f>
        <v>14.07717783620707</v>
      </c>
      <c r="BJ14" s="802">
        <v>1735</v>
      </c>
      <c r="BK14" s="727">
        <f>BJ14*1000/BC14</f>
        <v>398.57569492304157</v>
      </c>
      <c r="BL14" s="723">
        <f>BK14/BK53*100%</f>
        <v>1.053095790855637</v>
      </c>
      <c r="BM14" s="697">
        <v>1</v>
      </c>
      <c r="BN14" s="729">
        <v>1246.7</v>
      </c>
      <c r="BO14" s="730">
        <v>128.08</v>
      </c>
      <c r="BP14" s="723">
        <f>BO14/(BN14+BO14)</f>
        <v>0.0931639971486347</v>
      </c>
      <c r="BQ14" s="723"/>
      <c r="BR14" s="698"/>
      <c r="BS14" s="712">
        <f>AT14</f>
        <v>12324.91356</v>
      </c>
      <c r="BT14" s="724">
        <f>BS14*100%/AT14</f>
        <v>1</v>
      </c>
      <c r="BU14" s="731">
        <v>1</v>
      </c>
      <c r="BV14" s="803">
        <v>0</v>
      </c>
      <c r="BW14" s="844">
        <f>1-(BV14/100)</f>
        <v>1</v>
      </c>
      <c r="BX14" s="804">
        <f>2+2</f>
        <v>4</v>
      </c>
      <c r="BY14" s="1022">
        <f>(1-BX14/12)</f>
        <v>0.6666666666666667</v>
      </c>
      <c r="BZ14" s="805"/>
      <c r="CA14" s="805"/>
      <c r="CB14" s="805">
        <v>0</v>
      </c>
      <c r="CC14" s="805">
        <v>1</v>
      </c>
      <c r="CD14" s="806">
        <v>0</v>
      </c>
      <c r="CE14" s="806">
        <v>1</v>
      </c>
      <c r="CF14" s="806">
        <v>0</v>
      </c>
      <c r="CG14" s="806">
        <f>1-CF14/1</f>
        <v>1</v>
      </c>
      <c r="CH14" s="806">
        <v>0</v>
      </c>
      <c r="CI14" s="806">
        <f>1-CH14/1</f>
        <v>1</v>
      </c>
      <c r="CJ14" s="806">
        <v>0</v>
      </c>
      <c r="CK14" s="806">
        <v>1</v>
      </c>
      <c r="CL14" s="719">
        <f>BX14+CB14+CD14+CF14</f>
        <v>4</v>
      </c>
      <c r="CM14" s="690">
        <f>1-CL14/9</f>
        <v>0.5555555555555556</v>
      </c>
      <c r="CN14" s="729"/>
      <c r="CO14" s="732">
        <f>1-CN14/6</f>
        <v>1</v>
      </c>
      <c r="CP14" s="727"/>
      <c r="CQ14" s="727">
        <f>1-CP14/11</f>
        <v>1</v>
      </c>
      <c r="CR14" s="699"/>
      <c r="CS14" s="698">
        <f>1-CR14/3</f>
        <v>1</v>
      </c>
      <c r="CT14" s="699"/>
      <c r="CU14" s="746">
        <f>1-CT14/2</f>
        <v>1</v>
      </c>
      <c r="CV14" s="722"/>
      <c r="CW14" s="698">
        <f>1-CV14/5</f>
        <v>1</v>
      </c>
      <c r="CX14" s="804">
        <f>3+2</f>
        <v>5</v>
      </c>
      <c r="CY14" s="1022">
        <f>1-CX14/12</f>
        <v>0.5833333333333333</v>
      </c>
      <c r="CZ14" s="733"/>
      <c r="DA14" s="732">
        <f>1-CZ14/7</f>
        <v>1</v>
      </c>
      <c r="DB14" s="719">
        <f>CX14+CZ14</f>
        <v>5</v>
      </c>
      <c r="DC14" s="690">
        <f>1-DB14/14</f>
        <v>0.6428571428571428</v>
      </c>
      <c r="DD14" s="806"/>
      <c r="DE14" s="807"/>
      <c r="DF14" s="806">
        <v>0</v>
      </c>
      <c r="DG14" s="807">
        <f>1-DF14/3</f>
        <v>1</v>
      </c>
      <c r="DH14" s="729"/>
      <c r="DI14" s="698">
        <f>1-DH14/30</f>
        <v>1</v>
      </c>
      <c r="DJ14" s="806"/>
      <c r="DK14" s="806"/>
      <c r="DL14" s="806">
        <v>0</v>
      </c>
      <c r="DM14" s="807">
        <f>1-DL14/14</f>
        <v>1</v>
      </c>
      <c r="DN14" s="691">
        <f>DF14+DL14</f>
        <v>0</v>
      </c>
      <c r="DO14" s="688">
        <f>1-DN14/5</f>
        <v>1</v>
      </c>
      <c r="DP14" s="808">
        <f>12+15</f>
        <v>27</v>
      </c>
      <c r="DQ14" s="844">
        <f>1-DP14/(128+155)*100/100</f>
        <v>0.9045936395759717</v>
      </c>
      <c r="DR14" s="808">
        <v>3</v>
      </c>
      <c r="DS14" s="844">
        <f>1-DR14/(9)*100/100</f>
        <v>0.6666666666666667</v>
      </c>
      <c r="DT14" s="735">
        <v>1</v>
      </c>
      <c r="DU14" s="698">
        <v>1</v>
      </c>
      <c r="DV14" s="735"/>
      <c r="DW14" s="735">
        <v>1</v>
      </c>
      <c r="DX14" s="698">
        <v>1</v>
      </c>
      <c r="DY14" s="735"/>
      <c r="DZ14" s="735">
        <v>1</v>
      </c>
      <c r="EA14" s="698">
        <v>1</v>
      </c>
      <c r="EB14" s="735"/>
      <c r="EC14" s="735">
        <v>1</v>
      </c>
      <c r="ED14" s="698">
        <v>1</v>
      </c>
      <c r="EE14" s="735"/>
      <c r="EF14" s="735">
        <v>1</v>
      </c>
      <c r="EG14" s="698">
        <v>1</v>
      </c>
      <c r="EH14" s="735"/>
      <c r="EI14" s="735">
        <v>1</v>
      </c>
      <c r="EJ14" s="698">
        <v>1</v>
      </c>
      <c r="EK14" s="735"/>
      <c r="EL14" s="735"/>
      <c r="EM14" s="698"/>
      <c r="EN14" s="727"/>
      <c r="EO14" s="698"/>
      <c r="EP14" s="727">
        <f>D14+F14+J14+N14+R14+V14+Z14+AD14+AI14+AM14+AQ14+AW14+BA14+BB14+BF14+BM14+BR14+BU14+BW14+CM14+DC14+DO14+DQ14+DS14</f>
        <v>17.405917296718997</v>
      </c>
      <c r="EQ14" s="704">
        <f>EQ13+1</f>
        <v>3</v>
      </c>
      <c r="ER14" s="721">
        <f>ER44</f>
        <v>1.6333333333333329</v>
      </c>
      <c r="ES14" s="809" t="s">
        <v>116</v>
      </c>
      <c r="ET14" s="80"/>
      <c r="EU14" s="54">
        <v>23.126098926315844</v>
      </c>
      <c r="EV14" s="54">
        <v>5</v>
      </c>
      <c r="EW14" s="54">
        <v>1.552704073700215</v>
      </c>
      <c r="EX14" s="54" t="s">
        <v>117</v>
      </c>
    </row>
    <row r="15" spans="1:154" s="54" customFormat="1" ht="18.75">
      <c r="A15" s="692">
        <f t="shared" si="0"/>
        <v>6</v>
      </c>
      <c r="B15" s="694" t="s">
        <v>130</v>
      </c>
      <c r="C15" s="704">
        <v>0</v>
      </c>
      <c r="D15" s="690">
        <v>1</v>
      </c>
      <c r="E15" s="704">
        <v>0</v>
      </c>
      <c r="F15" s="690">
        <v>1</v>
      </c>
      <c r="G15" s="705">
        <v>6060.7</v>
      </c>
      <c r="H15" s="705">
        <v>6864.67329</v>
      </c>
      <c r="I15" s="706">
        <f>(G15-H15)/G15*100%</f>
        <v>-0.13265353672018082</v>
      </c>
      <c r="J15" s="688">
        <v>0.3</v>
      </c>
      <c r="K15" s="797">
        <v>3661.80292</v>
      </c>
      <c r="L15" s="797">
        <v>5906.38206</v>
      </c>
      <c r="M15" s="798">
        <f>K15/L15*100%</f>
        <v>0.6199739337553115</v>
      </c>
      <c r="N15" s="836">
        <v>0.8</v>
      </c>
      <c r="O15" s="797">
        <v>3661.80292</v>
      </c>
      <c r="P15" s="797">
        <v>7910.72501</v>
      </c>
      <c r="Q15" s="798">
        <f>O15/P15*100%</f>
        <v>0.4628909379824341</v>
      </c>
      <c r="R15" s="837">
        <v>1</v>
      </c>
      <c r="S15" s="797">
        <f>K15</f>
        <v>3661.80292</v>
      </c>
      <c r="T15" s="797">
        <v>2188.72544</v>
      </c>
      <c r="U15" s="799">
        <f>S15/T15*100%</f>
        <v>1.6730298159279402</v>
      </c>
      <c r="V15" s="838">
        <f>IF(U15&gt;100%,1,0)</f>
        <v>1</v>
      </c>
      <c r="W15" s="797">
        <v>2070.551</v>
      </c>
      <c r="X15" s="797">
        <v>1510.217</v>
      </c>
      <c r="Y15" s="800">
        <f>X15/W15*100%</f>
        <v>0.729379281167187</v>
      </c>
      <c r="Z15" s="837">
        <f>IF(0&lt;Y15&gt;100%,1-Y15/100%,0)</f>
        <v>0.270620718832813</v>
      </c>
      <c r="AA15" s="797">
        <v>1510.217</v>
      </c>
      <c r="AB15" s="797">
        <v>2701.785</v>
      </c>
      <c r="AC15" s="799">
        <f>AA15/AB15*100%</f>
        <v>0.5589700882934802</v>
      </c>
      <c r="AD15" s="839">
        <f>IF(0&lt;AC15&gt;100%,1-AC15/100%,0)</f>
        <v>0.44102991170651984</v>
      </c>
      <c r="AE15" s="797">
        <v>2236.77914</v>
      </c>
      <c r="AF15" s="797">
        <v>5906.38206</v>
      </c>
      <c r="AG15" s="797">
        <v>148.712</v>
      </c>
      <c r="AH15" s="798">
        <f>AE15/(AF15-AG15)*100%</f>
        <v>0.38848685608775574</v>
      </c>
      <c r="AI15" s="838">
        <v>0.8</v>
      </c>
      <c r="AJ15" s="801">
        <v>-787.39579</v>
      </c>
      <c r="AK15" s="801">
        <v>-2611.87963</v>
      </c>
      <c r="AL15" s="801">
        <f>AJ15-AK15</f>
        <v>1824.4838399999999</v>
      </c>
      <c r="AM15" s="836">
        <f>IF(AL15&gt;100%,1,0)</f>
        <v>1</v>
      </c>
      <c r="AN15" s="840">
        <f>(766631+1779634)/1000</f>
        <v>2546.265</v>
      </c>
      <c r="AO15" s="708">
        <v>2879.2</v>
      </c>
      <c r="AP15" s="706">
        <f>AN15*100%/AO15</f>
        <v>0.88436544873576</v>
      </c>
      <c r="AQ15" s="709">
        <v>1</v>
      </c>
      <c r="AR15" s="710">
        <f>AT15*100/AT41</f>
        <v>3.219217999853643</v>
      </c>
      <c r="AS15" s="711">
        <v>13199.47</v>
      </c>
      <c r="AT15" s="843">
        <f>12122893.62/1000</f>
        <v>12122.893619999999</v>
      </c>
      <c r="AU15" s="841">
        <v>4978.547</v>
      </c>
      <c r="AV15" s="706">
        <f>AU15*100%/AS15</f>
        <v>0.3771777957751334</v>
      </c>
      <c r="AW15" s="689">
        <v>1</v>
      </c>
      <c r="AX15" s="842">
        <f>2544265/1000</f>
        <v>2544.265</v>
      </c>
      <c r="AY15" s="708">
        <f>AX15*100/AN15</f>
        <v>99.92145358004764</v>
      </c>
      <c r="AZ15" s="708">
        <f>AX15*100/AU15</f>
        <v>51.104569264887935</v>
      </c>
      <c r="BA15" s="689">
        <v>0</v>
      </c>
      <c r="BB15" s="689">
        <v>1</v>
      </c>
      <c r="BC15" s="713">
        <v>2779</v>
      </c>
      <c r="BD15" s="708">
        <f>AS15*1000/BC15</f>
        <v>4749.719323497661</v>
      </c>
      <c r="BE15" s="706">
        <f>BD15/BD55*100%</f>
        <v>1.263879780482119</v>
      </c>
      <c r="BF15" s="689">
        <v>1</v>
      </c>
      <c r="BG15" s="689">
        <f>BD15*100/BD47</f>
        <v>126.38797804821189</v>
      </c>
      <c r="BH15" s="690">
        <f>BJ15*100/AN15</f>
        <v>62.10343385311427</v>
      </c>
      <c r="BI15" s="690">
        <f>BJ15*100/AT15</f>
        <v>13.044063979833885</v>
      </c>
      <c r="BJ15" s="802">
        <v>1581.318</v>
      </c>
      <c r="BK15" s="708">
        <f>BJ15*1000/BC15</f>
        <v>569.0241093918676</v>
      </c>
      <c r="BL15" s="706">
        <f>BK15/BK55*100%</f>
        <v>1.5034456494183777</v>
      </c>
      <c r="BM15" s="689">
        <v>1</v>
      </c>
      <c r="BN15" s="714">
        <v>0</v>
      </c>
      <c r="BO15" s="715">
        <v>0</v>
      </c>
      <c r="BP15" s="706"/>
      <c r="BQ15" s="706"/>
      <c r="BR15" s="690"/>
      <c r="BS15" s="712">
        <f>AT15</f>
        <v>12122.893619999999</v>
      </c>
      <c r="BT15" s="707">
        <f>BS15*100%/AT15</f>
        <v>1</v>
      </c>
      <c r="BU15" s="716">
        <v>1</v>
      </c>
      <c r="BV15" s="803">
        <v>0</v>
      </c>
      <c r="BW15" s="844">
        <f>1-(BV15/100)</f>
        <v>1</v>
      </c>
      <c r="BX15" s="804">
        <f>2+3</f>
        <v>5</v>
      </c>
      <c r="BY15" s="1022">
        <f>(1-BX15/12)</f>
        <v>0.5833333333333333</v>
      </c>
      <c r="BZ15" s="805"/>
      <c r="CA15" s="805"/>
      <c r="CB15" s="805">
        <v>0</v>
      </c>
      <c r="CC15" s="805">
        <v>1</v>
      </c>
      <c r="CD15" s="806">
        <v>0</v>
      </c>
      <c r="CE15" s="806">
        <v>1</v>
      </c>
      <c r="CF15" s="806">
        <v>0</v>
      </c>
      <c r="CG15" s="806">
        <f>1-CF15/1</f>
        <v>1</v>
      </c>
      <c r="CH15" s="806">
        <v>0</v>
      </c>
      <c r="CI15" s="806">
        <f>1-CH15/1</f>
        <v>1</v>
      </c>
      <c r="CJ15" s="806">
        <v>0</v>
      </c>
      <c r="CK15" s="806">
        <v>1</v>
      </c>
      <c r="CL15" s="719">
        <f>BX15+CB15+CD15+CF15</f>
        <v>5</v>
      </c>
      <c r="CM15" s="690">
        <f>1-CL15/9</f>
        <v>0.4444444444444444</v>
      </c>
      <c r="CN15" s="714"/>
      <c r="CO15" s="717">
        <f>1-CN15/6</f>
        <v>1</v>
      </c>
      <c r="CP15" s="708"/>
      <c r="CQ15" s="708">
        <f>1-CP15/11</f>
        <v>1</v>
      </c>
      <c r="CR15" s="691"/>
      <c r="CS15" s="690">
        <f>1-CR15/3</f>
        <v>1</v>
      </c>
      <c r="CT15" s="691"/>
      <c r="CU15" s="709">
        <f>1-CT15/2</f>
        <v>1</v>
      </c>
      <c r="CV15" s="704"/>
      <c r="CW15" s="690">
        <f>1-CV15/5</f>
        <v>1</v>
      </c>
      <c r="CX15" s="804">
        <f>2+3</f>
        <v>5</v>
      </c>
      <c r="CY15" s="1022">
        <f>1-CX15/12</f>
        <v>0.5833333333333333</v>
      </c>
      <c r="CZ15" s="718">
        <v>6</v>
      </c>
      <c r="DA15" s="717">
        <f>1-CZ15/7</f>
        <v>0.1428571428571429</v>
      </c>
      <c r="DB15" s="719">
        <f>CX15+CZ15</f>
        <v>11</v>
      </c>
      <c r="DC15" s="690">
        <f>1-DB15/14</f>
        <v>0.2142857142857143</v>
      </c>
      <c r="DD15" s="806"/>
      <c r="DE15" s="807"/>
      <c r="DF15" s="806">
        <v>0</v>
      </c>
      <c r="DG15" s="807">
        <f>1-DF15/3</f>
        <v>1</v>
      </c>
      <c r="DH15" s="714"/>
      <c r="DI15" s="690">
        <f>1-DH15/30</f>
        <v>1</v>
      </c>
      <c r="DJ15" s="806"/>
      <c r="DK15" s="806"/>
      <c r="DL15" s="806">
        <v>1</v>
      </c>
      <c r="DM15" s="807">
        <f>1-DL15/14</f>
        <v>0.9285714285714286</v>
      </c>
      <c r="DN15" s="691">
        <f>DF15+DL15</f>
        <v>1</v>
      </c>
      <c r="DO15" s="688">
        <f>1-DN15/5</f>
        <v>0.8</v>
      </c>
      <c r="DP15" s="808">
        <f>67+114</f>
        <v>181</v>
      </c>
      <c r="DQ15" s="844">
        <f>1-DP15/(222+287)*100/100</f>
        <v>0.6444007858546169</v>
      </c>
      <c r="DR15" s="808">
        <v>3</v>
      </c>
      <c r="DS15" s="844">
        <f>1-DR15/(9)*100/100</f>
        <v>0.6666666666666667</v>
      </c>
      <c r="DT15" s="720">
        <v>1</v>
      </c>
      <c r="DU15" s="690">
        <v>1</v>
      </c>
      <c r="DV15" s="720"/>
      <c r="DW15" s="720">
        <v>1</v>
      </c>
      <c r="DX15" s="690">
        <v>1</v>
      </c>
      <c r="DY15" s="720"/>
      <c r="DZ15" s="720">
        <v>1</v>
      </c>
      <c r="EA15" s="690">
        <v>1</v>
      </c>
      <c r="EB15" s="720"/>
      <c r="EC15" s="720">
        <v>1</v>
      </c>
      <c r="ED15" s="690">
        <v>1</v>
      </c>
      <c r="EE15" s="720"/>
      <c r="EF15" s="720">
        <v>1</v>
      </c>
      <c r="EG15" s="690">
        <v>1</v>
      </c>
      <c r="EH15" s="720"/>
      <c r="EI15" s="720">
        <v>1</v>
      </c>
      <c r="EJ15" s="690">
        <v>1</v>
      </c>
      <c r="EK15" s="720"/>
      <c r="EL15" s="720"/>
      <c r="EM15" s="690"/>
      <c r="EN15" s="708"/>
      <c r="EO15" s="690"/>
      <c r="EP15" s="708">
        <f>D15+F15+J15+N15+R15+V15+Z15+AD15+AI15+AM15+AQ15+AW15+BA15+BB15+BF15+BM15+BR15+BU15+BW15+CM15+DC15+DO15+DQ15+DS15</f>
        <v>17.381448241790775</v>
      </c>
      <c r="EQ15" s="704">
        <f>EQ14+1</f>
        <v>4</v>
      </c>
      <c r="ER15" s="721">
        <f>ER41</f>
        <v>1.6333333333333329</v>
      </c>
      <c r="ES15" s="708" t="s">
        <v>117</v>
      </c>
      <c r="ET15" s="80"/>
      <c r="EU15" s="54">
        <v>22.354608989794855</v>
      </c>
      <c r="EV15" s="54">
        <v>6</v>
      </c>
      <c r="EW15" s="54">
        <v>1.552704073700215</v>
      </c>
      <c r="EX15" s="54" t="s">
        <v>117</v>
      </c>
    </row>
    <row r="16" spans="1:154" s="54" customFormat="1" ht="18.75">
      <c r="A16" s="692">
        <f t="shared" si="0"/>
        <v>7</v>
      </c>
      <c r="B16" s="694" t="s">
        <v>131</v>
      </c>
      <c r="C16" s="704">
        <v>0</v>
      </c>
      <c r="D16" s="690">
        <v>1</v>
      </c>
      <c r="E16" s="704">
        <v>0</v>
      </c>
      <c r="F16" s="690">
        <v>1</v>
      </c>
      <c r="G16" s="705">
        <v>9575.8</v>
      </c>
      <c r="H16" s="705">
        <v>6712.00074</v>
      </c>
      <c r="I16" s="706">
        <f>(G16-H16)/G16*100%</f>
        <v>0.2990663192631424</v>
      </c>
      <c r="J16" s="688">
        <v>0</v>
      </c>
      <c r="K16" s="797">
        <v>4056.18169</v>
      </c>
      <c r="L16" s="797">
        <v>5488.97209</v>
      </c>
      <c r="M16" s="798">
        <f>K16/L16*100%</f>
        <v>0.7389692684700825</v>
      </c>
      <c r="N16" s="836">
        <v>1</v>
      </c>
      <c r="O16" s="797">
        <v>4056.18169</v>
      </c>
      <c r="P16" s="797">
        <v>10984.62554</v>
      </c>
      <c r="Q16" s="798">
        <f>O16/P16*100%</f>
        <v>0.3692598965007596</v>
      </c>
      <c r="R16" s="837">
        <f>IF(0%&lt;Q16&gt;45%,Q16/45%,1)</f>
        <v>0.8205775477794657</v>
      </c>
      <c r="S16" s="797">
        <f>K16</f>
        <v>4056.18169</v>
      </c>
      <c r="T16" s="797">
        <v>2034.90081</v>
      </c>
      <c r="U16" s="799">
        <f>S16/T16*100%</f>
        <v>1.9933068334667376</v>
      </c>
      <c r="V16" s="838">
        <f>IF(U16&gt;100%,1,0)</f>
        <v>1</v>
      </c>
      <c r="W16" s="797">
        <v>1136.441</v>
      </c>
      <c r="X16" s="797">
        <v>909.873</v>
      </c>
      <c r="Y16" s="800">
        <f>X16/W16*100%</f>
        <v>0.8006337328554672</v>
      </c>
      <c r="Z16" s="837">
        <f>IF(0&lt;Y16&gt;100%,1-Y16/100%,0)</f>
        <v>0.19936626714453276</v>
      </c>
      <c r="AA16" s="797">
        <v>909.873</v>
      </c>
      <c r="AB16" s="797">
        <v>2212.206</v>
      </c>
      <c r="AC16" s="799">
        <f>AA16/AB16*100%</f>
        <v>0.41129668755983845</v>
      </c>
      <c r="AD16" s="839">
        <f>IF(0&lt;AC16&gt;100%,1-AC16/100%,0)</f>
        <v>0.5887033124401615</v>
      </c>
      <c r="AE16" s="797">
        <v>1469.7803</v>
      </c>
      <c r="AF16" s="797">
        <v>5488.97209</v>
      </c>
      <c r="AG16" s="797">
        <v>339.143</v>
      </c>
      <c r="AH16" s="798">
        <f>AE16/(AF16-AG16)*100%</f>
        <v>0.28540370453342556</v>
      </c>
      <c r="AI16" s="838">
        <v>1</v>
      </c>
      <c r="AJ16" s="801">
        <v>0</v>
      </c>
      <c r="AK16" s="801">
        <v>-116</v>
      </c>
      <c r="AL16" s="801">
        <f>AJ16-AK16</f>
        <v>116</v>
      </c>
      <c r="AM16" s="836">
        <f>IF(AL16&gt;100%,1,0)</f>
        <v>1</v>
      </c>
      <c r="AN16" s="840">
        <f>(1062432+2441442.75+100000)/1000</f>
        <v>3603.87475</v>
      </c>
      <c r="AO16" s="708">
        <v>3960.2</v>
      </c>
      <c r="AP16" s="706">
        <f>AN16*100%/AO16</f>
        <v>0.9100234205343165</v>
      </c>
      <c r="AQ16" s="709">
        <v>1</v>
      </c>
      <c r="AR16" s="710">
        <f>AT16*100/AT43</f>
        <v>4.1203480608638445</v>
      </c>
      <c r="AS16" s="711">
        <v>19776.19</v>
      </c>
      <c r="AT16" s="843">
        <f>15516358.7/1000</f>
        <v>15516.358699999999</v>
      </c>
      <c r="AU16" s="841">
        <v>5307.47329</v>
      </c>
      <c r="AV16" s="706">
        <f>AU16*100%/AS16</f>
        <v>0.26837693660912443</v>
      </c>
      <c r="AW16" s="689">
        <v>1</v>
      </c>
      <c r="AX16" s="842">
        <f>3009838.61/1000</f>
        <v>3009.83861</v>
      </c>
      <c r="AY16" s="708">
        <f>AX16*100/AN16</f>
        <v>83.51673736719069</v>
      </c>
      <c r="AZ16" s="708">
        <f>AX16*100/AU16</f>
        <v>56.709444316393345</v>
      </c>
      <c r="BA16" s="689">
        <v>1</v>
      </c>
      <c r="BB16" s="689">
        <v>1</v>
      </c>
      <c r="BC16" s="713">
        <v>6685</v>
      </c>
      <c r="BD16" s="708">
        <f>AS16*1000/BC16</f>
        <v>2958.2931937172775</v>
      </c>
      <c r="BE16" s="706">
        <f>BD16/BD57*100%</f>
        <v>0.7871890311033829</v>
      </c>
      <c r="BF16" s="689">
        <v>0.7</v>
      </c>
      <c r="BG16" s="689">
        <f>BD16*100/BD50</f>
        <v>78.71890311033829</v>
      </c>
      <c r="BH16" s="690">
        <f>BJ16*100/AN16</f>
        <v>22.697728326990273</v>
      </c>
      <c r="BI16" s="690">
        <f>BJ16*100/AT16</f>
        <v>5.271840615543388</v>
      </c>
      <c r="BJ16" s="802">
        <v>817.9976999999999</v>
      </c>
      <c r="BK16" s="708">
        <f>BJ16*1000/BC16</f>
        <v>122.36315632011966</v>
      </c>
      <c r="BL16" s="706">
        <f>BK16/BK57*100%</f>
        <v>0.3233015121541948</v>
      </c>
      <c r="BM16" s="689">
        <v>0</v>
      </c>
      <c r="BN16" s="714">
        <v>861.9</v>
      </c>
      <c r="BO16" s="715">
        <v>273.21</v>
      </c>
      <c r="BP16" s="706">
        <f>BO16/(BN16+BO16)</f>
        <v>0.24069032957158337</v>
      </c>
      <c r="BQ16" s="706"/>
      <c r="BR16" s="690"/>
      <c r="BS16" s="712">
        <f>AT16</f>
        <v>15516.358699999999</v>
      </c>
      <c r="BT16" s="707">
        <f>BS16*100%/AT16</f>
        <v>1</v>
      </c>
      <c r="BU16" s="716">
        <v>1</v>
      </c>
      <c r="BV16" s="803">
        <v>7.593008319850464</v>
      </c>
      <c r="BW16" s="844">
        <f>1-(BV16/100)</f>
        <v>0.9240699168014954</v>
      </c>
      <c r="BX16" s="804">
        <f>3+4</f>
        <v>7</v>
      </c>
      <c r="BY16" s="1022">
        <f>(1-BX16/12)</f>
        <v>0.41666666666666663</v>
      </c>
      <c r="BZ16" s="805"/>
      <c r="CA16" s="805"/>
      <c r="CB16" s="805">
        <v>1</v>
      </c>
      <c r="CC16" s="805">
        <v>0</v>
      </c>
      <c r="CD16" s="806">
        <v>1</v>
      </c>
      <c r="CE16" s="806">
        <v>0</v>
      </c>
      <c r="CF16" s="806">
        <v>0</v>
      </c>
      <c r="CG16" s="806">
        <f>1-CF16/1</f>
        <v>1</v>
      </c>
      <c r="CH16" s="806">
        <v>0</v>
      </c>
      <c r="CI16" s="806">
        <f>1-CH16/1</f>
        <v>1</v>
      </c>
      <c r="CJ16" s="806">
        <v>0</v>
      </c>
      <c r="CK16" s="806">
        <v>1</v>
      </c>
      <c r="CL16" s="719">
        <f>BX16+CB16+CD16+CF16</f>
        <v>9</v>
      </c>
      <c r="CM16" s="690">
        <f>1-CL16/9</f>
        <v>0</v>
      </c>
      <c r="CN16" s="714"/>
      <c r="CO16" s="717">
        <f>1-CN16/6</f>
        <v>1</v>
      </c>
      <c r="CP16" s="708"/>
      <c r="CQ16" s="708">
        <f>1-CP16/11</f>
        <v>1</v>
      </c>
      <c r="CR16" s="691"/>
      <c r="CS16" s="690">
        <f>1-CR16/3</f>
        <v>1</v>
      </c>
      <c r="CT16" s="691"/>
      <c r="CU16" s="709">
        <f>1-CT16/2</f>
        <v>1</v>
      </c>
      <c r="CV16" s="704"/>
      <c r="CW16" s="690">
        <f>1-CV16/5</f>
        <v>1</v>
      </c>
      <c r="CX16" s="804">
        <f>5+3</f>
        <v>8</v>
      </c>
      <c r="CY16" s="1022">
        <f>1-CX16/12</f>
        <v>0.33333333333333337</v>
      </c>
      <c r="CZ16" s="718"/>
      <c r="DA16" s="717">
        <f>1-CZ16/7</f>
        <v>1</v>
      </c>
      <c r="DB16" s="719">
        <f>CX16+CZ16</f>
        <v>8</v>
      </c>
      <c r="DC16" s="690">
        <f>1-DB16/14</f>
        <v>0.4285714285714286</v>
      </c>
      <c r="DD16" s="806"/>
      <c r="DE16" s="807"/>
      <c r="DF16" s="806">
        <v>0</v>
      </c>
      <c r="DG16" s="807">
        <f>1-DF16/3</f>
        <v>1</v>
      </c>
      <c r="DH16" s="714"/>
      <c r="DI16" s="690">
        <f>1-DH16/30</f>
        <v>1</v>
      </c>
      <c r="DJ16" s="806"/>
      <c r="DK16" s="806"/>
      <c r="DL16" s="806">
        <v>0</v>
      </c>
      <c r="DM16" s="807">
        <f>1-DL16/14</f>
        <v>1</v>
      </c>
      <c r="DN16" s="691">
        <f>DF16+DL16</f>
        <v>0</v>
      </c>
      <c r="DO16" s="688">
        <f>1-DN16/5</f>
        <v>1</v>
      </c>
      <c r="DP16" s="808">
        <f>47+47</f>
        <v>94</v>
      </c>
      <c r="DQ16" s="844">
        <f>1-DP16/(471+470)*100/100</f>
        <v>0.900106269925611</v>
      </c>
      <c r="DR16" s="808">
        <v>2</v>
      </c>
      <c r="DS16" s="844">
        <f>1-DR16/(9)*100/100</f>
        <v>0.7777777777777778</v>
      </c>
      <c r="DT16" s="720">
        <v>1</v>
      </c>
      <c r="DU16" s="690">
        <v>1</v>
      </c>
      <c r="DV16" s="720"/>
      <c r="DW16" s="720">
        <v>1</v>
      </c>
      <c r="DX16" s="690">
        <v>1</v>
      </c>
      <c r="DY16" s="720"/>
      <c r="DZ16" s="720">
        <v>1</v>
      </c>
      <c r="EA16" s="690">
        <v>1</v>
      </c>
      <c r="EB16" s="720"/>
      <c r="EC16" s="720">
        <v>1</v>
      </c>
      <c r="ED16" s="690">
        <v>1</v>
      </c>
      <c r="EE16" s="720"/>
      <c r="EF16" s="720">
        <v>1</v>
      </c>
      <c r="EG16" s="690">
        <v>1</v>
      </c>
      <c r="EH16" s="720"/>
      <c r="EI16" s="720">
        <v>1</v>
      </c>
      <c r="EJ16" s="690">
        <v>1</v>
      </c>
      <c r="EK16" s="720"/>
      <c r="EL16" s="720"/>
      <c r="EM16" s="690"/>
      <c r="EN16" s="708"/>
      <c r="EO16" s="690"/>
      <c r="EP16" s="708">
        <f>D16+F16+J16+N16+R16+V16+Z16+AD16+AI16+AM16+AQ16+AW16+BA16+BB16+BF16+BM16+BR16+BU16+BW16+CM16+DC16+DO16+DQ16+DS16</f>
        <v>17.33917252044047</v>
      </c>
      <c r="EQ16" s="704">
        <f>EQ15+1</f>
        <v>5</v>
      </c>
      <c r="ER16" s="736">
        <f>ER28</f>
        <v>1.6333333333333329</v>
      </c>
      <c r="ES16" s="708" t="s">
        <v>117</v>
      </c>
      <c r="ET16" s="80"/>
      <c r="EU16" s="54">
        <v>22.28579767269808</v>
      </c>
      <c r="EV16" s="54">
        <v>7</v>
      </c>
      <c r="EW16" s="54">
        <v>1.552704073700215</v>
      </c>
      <c r="EX16" s="54" t="s">
        <v>117</v>
      </c>
    </row>
    <row r="17" spans="1:154" s="54" customFormat="1" ht="18.75">
      <c r="A17" s="692">
        <f t="shared" si="0"/>
        <v>8</v>
      </c>
      <c r="B17" s="694" t="s">
        <v>128</v>
      </c>
      <c r="C17" s="704">
        <v>0</v>
      </c>
      <c r="D17" s="690">
        <v>1</v>
      </c>
      <c r="E17" s="704">
        <v>0</v>
      </c>
      <c r="F17" s="690">
        <v>1</v>
      </c>
      <c r="G17" s="705">
        <v>4545.88</v>
      </c>
      <c r="H17" s="705">
        <v>7173.12442</v>
      </c>
      <c r="I17" s="706">
        <f>(G17-H17)/G17*100%</f>
        <v>-0.5779396772462098</v>
      </c>
      <c r="J17" s="688">
        <v>0</v>
      </c>
      <c r="K17" s="797">
        <v>5883.03003</v>
      </c>
      <c r="L17" s="797">
        <v>6733.50703</v>
      </c>
      <c r="M17" s="798">
        <f>K17/L17*100%</f>
        <v>0.8736947928901175</v>
      </c>
      <c r="N17" s="836">
        <v>1</v>
      </c>
      <c r="O17" s="797">
        <v>5883.03003</v>
      </c>
      <c r="P17" s="797">
        <v>12581.60338</v>
      </c>
      <c r="Q17" s="798">
        <f>O17/P17*100%</f>
        <v>0.46758984942664755</v>
      </c>
      <c r="R17" s="837">
        <v>1</v>
      </c>
      <c r="S17" s="797">
        <f>K17</f>
        <v>5883.03003</v>
      </c>
      <c r="T17" s="797">
        <v>2968.50927</v>
      </c>
      <c r="U17" s="799">
        <f>S17/T17*100%</f>
        <v>1.9818129218777882</v>
      </c>
      <c r="V17" s="838">
        <f>IF(U17&gt;100%,1,0)</f>
        <v>1</v>
      </c>
      <c r="W17" s="797">
        <v>2458.508</v>
      </c>
      <c r="X17" s="797">
        <v>1672.658</v>
      </c>
      <c r="Y17" s="800">
        <f>X17/W17*100%</f>
        <v>0.680354914444045</v>
      </c>
      <c r="Z17" s="837">
        <f>IF(0&lt;Y17&gt;100%,1-Y17/100%,0)</f>
        <v>0.31964508555595506</v>
      </c>
      <c r="AA17" s="797">
        <v>1672.658</v>
      </c>
      <c r="AB17" s="797">
        <v>2588.365</v>
      </c>
      <c r="AC17" s="799">
        <f>AA17/AB17*100%</f>
        <v>0.6462218427462897</v>
      </c>
      <c r="AD17" s="839">
        <f>IF(0&lt;AC17&gt;100%,1-AC17/100%,0)</f>
        <v>0.3537781572537103</v>
      </c>
      <c r="AE17" s="797">
        <v>850.477</v>
      </c>
      <c r="AF17" s="797">
        <v>6733.50703</v>
      </c>
      <c r="AG17" s="797">
        <v>166.627</v>
      </c>
      <c r="AH17" s="798">
        <f>AE17/(AF17-AG17)*100%</f>
        <v>0.12951005593443132</v>
      </c>
      <c r="AI17" s="838">
        <v>1</v>
      </c>
      <c r="AJ17" s="801">
        <v>0</v>
      </c>
      <c r="AK17" s="801">
        <v>-1223.8406</v>
      </c>
      <c r="AL17" s="801">
        <f>AJ17-AK17</f>
        <v>1223.8406</v>
      </c>
      <c r="AM17" s="836">
        <f>IF(AL17&gt;100%,1,0)</f>
        <v>1</v>
      </c>
      <c r="AN17" s="840">
        <f>(640580+1984460.24)/1000</f>
        <v>2625.0402400000003</v>
      </c>
      <c r="AO17" s="708">
        <v>3133.7</v>
      </c>
      <c r="AP17" s="706">
        <f>AN17*100%/AO17</f>
        <v>0.8376807735265024</v>
      </c>
      <c r="AQ17" s="709">
        <v>1</v>
      </c>
      <c r="AR17" s="710">
        <f>AT17*100/AT44</f>
        <v>3.750368863202916</v>
      </c>
      <c r="AS17" s="711">
        <v>17298.83</v>
      </c>
      <c r="AT17" s="843">
        <f>14123095.35/1000</f>
        <v>14123.09535</v>
      </c>
      <c r="AU17" s="841">
        <v>4858.22771</v>
      </c>
      <c r="AV17" s="706">
        <f>AU17*100%/AS17</f>
        <v>0.28084140430306553</v>
      </c>
      <c r="AW17" s="689">
        <v>1</v>
      </c>
      <c r="AX17" s="842">
        <f>2491425.94/1000</f>
        <v>2491.42594</v>
      </c>
      <c r="AY17" s="708">
        <f>AX17*100/AN17</f>
        <v>94.91000945570266</v>
      </c>
      <c r="AZ17" s="708">
        <f>AX17*100/AU17</f>
        <v>51.2826093941982</v>
      </c>
      <c r="BA17" s="689">
        <v>0</v>
      </c>
      <c r="BB17" s="689">
        <v>1</v>
      </c>
      <c r="BC17" s="713">
        <v>3259</v>
      </c>
      <c r="BD17" s="708">
        <f>AS17*1000/BC17</f>
        <v>5308.0177968702055</v>
      </c>
      <c r="BE17" s="706">
        <f>BD17/BD58*100%</f>
        <v>1.4124405909028026</v>
      </c>
      <c r="BF17" s="689">
        <v>1</v>
      </c>
      <c r="BG17" s="689">
        <f>BD17*100/BD40</f>
        <v>141.24405909028025</v>
      </c>
      <c r="BH17" s="690">
        <f>BJ17*100/AN17</f>
        <v>17.5654358730897</v>
      </c>
      <c r="BI17" s="690">
        <f>BJ17*100/AT17</f>
        <v>3.2648633219062706</v>
      </c>
      <c r="BJ17" s="802">
        <v>461.09976</v>
      </c>
      <c r="BK17" s="708">
        <f>BJ17*1000/BC17</f>
        <v>141.48504449217552</v>
      </c>
      <c r="BL17" s="706">
        <f>BK17/BK58*100%</f>
        <v>0.37382436190069623</v>
      </c>
      <c r="BM17" s="689">
        <v>0</v>
      </c>
      <c r="BN17" s="714">
        <v>143.2</v>
      </c>
      <c r="BO17" s="715">
        <v>65.51</v>
      </c>
      <c r="BP17" s="706">
        <f>BO17/(BN17+BO17)</f>
        <v>0.31388050404868006</v>
      </c>
      <c r="BQ17" s="706"/>
      <c r="BR17" s="690"/>
      <c r="BS17" s="712">
        <f>AT17</f>
        <v>14123.09535</v>
      </c>
      <c r="BT17" s="707">
        <f>BS17*100%/AT17</f>
        <v>1</v>
      </c>
      <c r="BU17" s="716">
        <v>1</v>
      </c>
      <c r="BV17" s="803">
        <v>0</v>
      </c>
      <c r="BW17" s="844">
        <f>1-(BV17/100)</f>
        <v>1</v>
      </c>
      <c r="BX17" s="804">
        <f>1+1</f>
        <v>2</v>
      </c>
      <c r="BY17" s="1022">
        <f>(1-BX17/12)</f>
        <v>0.8333333333333334</v>
      </c>
      <c r="BZ17" s="805"/>
      <c r="CA17" s="805"/>
      <c r="CB17" s="805">
        <v>0</v>
      </c>
      <c r="CC17" s="805">
        <v>1</v>
      </c>
      <c r="CD17" s="806">
        <v>0</v>
      </c>
      <c r="CE17" s="806">
        <v>1</v>
      </c>
      <c r="CF17" s="806">
        <v>0</v>
      </c>
      <c r="CG17" s="806">
        <f>1-CF17/1</f>
        <v>1</v>
      </c>
      <c r="CH17" s="806">
        <v>0</v>
      </c>
      <c r="CI17" s="806">
        <f>1-CH17/1</f>
        <v>1</v>
      </c>
      <c r="CJ17" s="806">
        <v>0</v>
      </c>
      <c r="CK17" s="806">
        <v>1</v>
      </c>
      <c r="CL17" s="719">
        <f>BX17+CB17+CD17+CF17</f>
        <v>2</v>
      </c>
      <c r="CM17" s="690">
        <f>1-CL17/9</f>
        <v>0.7777777777777778</v>
      </c>
      <c r="CN17" s="714"/>
      <c r="CO17" s="717">
        <f>1-CN17/6</f>
        <v>1</v>
      </c>
      <c r="CP17" s="708"/>
      <c r="CQ17" s="708">
        <f>1-CP17/11</f>
        <v>1</v>
      </c>
      <c r="CR17" s="691"/>
      <c r="CS17" s="690">
        <f>1-CR17/3</f>
        <v>1</v>
      </c>
      <c r="CT17" s="691"/>
      <c r="CU17" s="709">
        <f>1-CT17/2</f>
        <v>1</v>
      </c>
      <c r="CV17" s="704"/>
      <c r="CW17" s="690">
        <f>1-CV17/5</f>
        <v>1</v>
      </c>
      <c r="CX17" s="804">
        <f>1+1</f>
        <v>2</v>
      </c>
      <c r="CY17" s="1022">
        <f>1-CX17/12</f>
        <v>0.8333333333333334</v>
      </c>
      <c r="CZ17" s="718">
        <v>6</v>
      </c>
      <c r="DA17" s="717">
        <f>1-CZ17/7</f>
        <v>0.1428571428571429</v>
      </c>
      <c r="DB17" s="719">
        <f>CX17+CZ17</f>
        <v>8</v>
      </c>
      <c r="DC17" s="690">
        <f>1-DB17/14</f>
        <v>0.4285714285714286</v>
      </c>
      <c r="DD17" s="806"/>
      <c r="DE17" s="807"/>
      <c r="DF17" s="806">
        <v>0</v>
      </c>
      <c r="DG17" s="807">
        <f>1-DF17/3</f>
        <v>1</v>
      </c>
      <c r="DH17" s="714"/>
      <c r="DI17" s="690">
        <f>1-DH17/30</f>
        <v>1</v>
      </c>
      <c r="DJ17" s="806"/>
      <c r="DK17" s="806"/>
      <c r="DL17" s="806">
        <v>0</v>
      </c>
      <c r="DM17" s="807">
        <f>1-DL17/14</f>
        <v>1</v>
      </c>
      <c r="DN17" s="691">
        <f>DF17+DL17</f>
        <v>0</v>
      </c>
      <c r="DO17" s="688">
        <f>1-DN17/5</f>
        <v>1</v>
      </c>
      <c r="DP17" s="808">
        <f>32+33</f>
        <v>65</v>
      </c>
      <c r="DQ17" s="844">
        <f>1-DP17/(318+326)*100/100</f>
        <v>0.8990683229813665</v>
      </c>
      <c r="DR17" s="808">
        <v>4</v>
      </c>
      <c r="DS17" s="844">
        <f>1-DR17/(9)*100/100</f>
        <v>0.5555555555555556</v>
      </c>
      <c r="DT17" s="720">
        <v>1</v>
      </c>
      <c r="DU17" s="690">
        <v>1</v>
      </c>
      <c r="DV17" s="720"/>
      <c r="DW17" s="720">
        <v>1</v>
      </c>
      <c r="DX17" s="690">
        <v>1</v>
      </c>
      <c r="DY17" s="720"/>
      <c r="DZ17" s="720">
        <v>1</v>
      </c>
      <c r="EA17" s="690">
        <v>1</v>
      </c>
      <c r="EB17" s="720"/>
      <c r="EC17" s="720">
        <v>1</v>
      </c>
      <c r="ED17" s="690">
        <v>1</v>
      </c>
      <c r="EE17" s="720"/>
      <c r="EF17" s="720">
        <v>1</v>
      </c>
      <c r="EG17" s="690">
        <v>1</v>
      </c>
      <c r="EH17" s="720"/>
      <c r="EI17" s="720">
        <v>1</v>
      </c>
      <c r="EJ17" s="690">
        <v>1</v>
      </c>
      <c r="EK17" s="720"/>
      <c r="EL17" s="720"/>
      <c r="EM17" s="690"/>
      <c r="EN17" s="708"/>
      <c r="EO17" s="690"/>
      <c r="EP17" s="708">
        <f>D17+F17+J17+N17+R17+V17+Z17+AD17+AI17+AM17+AQ17+AW17+BA17+BB17+BF17+BM17+BR17+BU17+BW17+CM17+DC17+DO17+DQ17+DS17</f>
        <v>17.334396327695796</v>
      </c>
      <c r="EQ17" s="704">
        <f>EQ16+1</f>
        <v>6</v>
      </c>
      <c r="ER17" s="721">
        <f>ER43</f>
        <v>1.6333333333333329</v>
      </c>
      <c r="ES17" s="708" t="s">
        <v>117</v>
      </c>
      <c r="EU17" s="54">
        <v>22.201410392222645</v>
      </c>
      <c r="EV17" s="54">
        <v>8</v>
      </c>
      <c r="EW17" s="54">
        <v>1.552704073700215</v>
      </c>
      <c r="EX17" s="54" t="s">
        <v>117</v>
      </c>
    </row>
    <row r="18" spans="1:154" s="54" customFormat="1" ht="18.75">
      <c r="A18" s="692">
        <f t="shared" si="0"/>
        <v>9</v>
      </c>
      <c r="B18" s="694" t="s">
        <v>121</v>
      </c>
      <c r="C18" s="704">
        <v>0</v>
      </c>
      <c r="D18" s="690">
        <v>1</v>
      </c>
      <c r="E18" s="704">
        <v>0</v>
      </c>
      <c r="F18" s="690">
        <v>1</v>
      </c>
      <c r="G18" s="705">
        <v>23084.4</v>
      </c>
      <c r="H18" s="705">
        <v>38950.90831</v>
      </c>
      <c r="I18" s="706">
        <f>(G18-H18)/G18*100%</f>
        <v>-0.6873259998093949</v>
      </c>
      <c r="J18" s="688">
        <v>0</v>
      </c>
      <c r="K18" s="797">
        <v>11070.88722</v>
      </c>
      <c r="L18" s="797">
        <v>13214.29718</v>
      </c>
      <c r="M18" s="798">
        <f>K18/L18*100%</f>
        <v>0.8377961437673677</v>
      </c>
      <c r="N18" s="836">
        <v>1</v>
      </c>
      <c r="O18" s="797">
        <v>11070.88722</v>
      </c>
      <c r="P18" s="797">
        <v>28124.98558</v>
      </c>
      <c r="Q18" s="798">
        <f>O18/P18*100%</f>
        <v>0.3936317474193706</v>
      </c>
      <c r="R18" s="837">
        <f>IF(0%&lt;Q18&gt;45%,Q18/45%,1)</f>
        <v>0.8747372164874903</v>
      </c>
      <c r="S18" s="797">
        <f>K18</f>
        <v>11070.88722</v>
      </c>
      <c r="T18" s="797">
        <v>11979.54388</v>
      </c>
      <c r="U18" s="799">
        <f>S18/T18*100%</f>
        <v>0.92414931076658</v>
      </c>
      <c r="V18" s="838">
        <f>IF(U18&gt;100%,1,0)</f>
        <v>0</v>
      </c>
      <c r="W18" s="797">
        <v>21555.641</v>
      </c>
      <c r="X18" s="797">
        <v>15074.702</v>
      </c>
      <c r="Y18" s="800">
        <f>X18/W18*100%</f>
        <v>0.6993390732384158</v>
      </c>
      <c r="Z18" s="837">
        <f>IF(0&lt;Y18&gt;100%,1-Y18/100%,0)</f>
        <v>0.3006609267615842</v>
      </c>
      <c r="AA18" s="797">
        <v>15074.702</v>
      </c>
      <c r="AB18" s="797">
        <v>9402.477</v>
      </c>
      <c r="AC18" s="799">
        <f>AA18/AB18*100%</f>
        <v>1.603269223631177</v>
      </c>
      <c r="AD18" s="839">
        <v>0</v>
      </c>
      <c r="AE18" s="797">
        <v>2175.60996</v>
      </c>
      <c r="AF18" s="797">
        <v>13214.29718</v>
      </c>
      <c r="AG18" s="797">
        <v>454.481</v>
      </c>
      <c r="AH18" s="798">
        <f>AE18/(AF18-AG18)*100%</f>
        <v>0.17050480424710945</v>
      </c>
      <c r="AI18" s="838">
        <v>1</v>
      </c>
      <c r="AJ18" s="801">
        <v>0</v>
      </c>
      <c r="AK18" s="801">
        <v>-898.10926</v>
      </c>
      <c r="AL18" s="801">
        <f>AJ18-AK18</f>
        <v>898.10926</v>
      </c>
      <c r="AM18" s="836">
        <f>IF(AL18&gt;100%,1,0)</f>
        <v>1</v>
      </c>
      <c r="AN18" s="840">
        <f>(1373040+2797800)/1000</f>
        <v>4170.84</v>
      </c>
      <c r="AO18" s="708">
        <v>4337.2</v>
      </c>
      <c r="AP18" s="706">
        <f>AN18*100%/AO18</f>
        <v>0.9616434566079499</v>
      </c>
      <c r="AQ18" s="709">
        <v>1</v>
      </c>
      <c r="AR18" s="710">
        <f>AT18*100/AT44</f>
        <v>8.393508948010782</v>
      </c>
      <c r="AS18" s="711">
        <v>31638.18</v>
      </c>
      <c r="AT18" s="843">
        <f>31608178.16/1000</f>
        <v>31608.17816</v>
      </c>
      <c r="AU18" s="841">
        <v>12293.58</v>
      </c>
      <c r="AV18" s="706">
        <f>AU18*100%/AS18</f>
        <v>0.3885678632588853</v>
      </c>
      <c r="AW18" s="689">
        <v>1</v>
      </c>
      <c r="AX18" s="842">
        <f>4091719/1000</f>
        <v>4091.719</v>
      </c>
      <c r="AY18" s="708">
        <f>AX18*100/AN18</f>
        <v>98.10299603916717</v>
      </c>
      <c r="AZ18" s="708">
        <f>AX18*100/AU18</f>
        <v>33.2833804310868</v>
      </c>
      <c r="BA18" s="689">
        <v>0</v>
      </c>
      <c r="BB18" s="689">
        <v>1</v>
      </c>
      <c r="BC18" s="713">
        <v>7908</v>
      </c>
      <c r="BD18" s="708">
        <f>AS18*1000/BC18</f>
        <v>4000.781487101669</v>
      </c>
      <c r="BE18" s="706">
        <f>BD18/BD58*100%</f>
        <v>1.0645906596332109</v>
      </c>
      <c r="BF18" s="689">
        <v>1</v>
      </c>
      <c r="BG18" s="689">
        <f>BD18*100/BD44</f>
        <v>106.45906596332108</v>
      </c>
      <c r="BH18" s="690">
        <f>BJ18*100/AN18</f>
        <v>300.1795726999836</v>
      </c>
      <c r="BI18" s="690">
        <f>BJ18*100/AT18</f>
        <v>39.610032652384916</v>
      </c>
      <c r="BJ18" s="802">
        <v>12520.009689999999</v>
      </c>
      <c r="BK18" s="708">
        <f>BJ18*1000/BC18</f>
        <v>1583.2081044511885</v>
      </c>
      <c r="BL18" s="706">
        <f>BK18/BK58*100%</f>
        <v>4.183069394555032</v>
      </c>
      <c r="BM18" s="689">
        <v>1</v>
      </c>
      <c r="BN18" s="714">
        <v>1668.6</v>
      </c>
      <c r="BO18" s="715">
        <v>1072.61</v>
      </c>
      <c r="BP18" s="706">
        <f>BO18/(BN18+BO18)</f>
        <v>0.39129070738834304</v>
      </c>
      <c r="BQ18" s="706">
        <v>1</v>
      </c>
      <c r="BR18" s="690">
        <v>1</v>
      </c>
      <c r="BS18" s="712">
        <f>AT18</f>
        <v>31608.17816</v>
      </c>
      <c r="BT18" s="707">
        <f>BS18*100%/AT18</f>
        <v>1</v>
      </c>
      <c r="BU18" s="716">
        <v>1</v>
      </c>
      <c r="BV18" s="803">
        <v>0</v>
      </c>
      <c r="BW18" s="844">
        <f>1-(BV18/100)</f>
        <v>1</v>
      </c>
      <c r="BX18" s="804">
        <f>2+2</f>
        <v>4</v>
      </c>
      <c r="BY18" s="1022">
        <f>(1-BX18/12)</f>
        <v>0.6666666666666667</v>
      </c>
      <c r="BZ18" s="805"/>
      <c r="CA18" s="805"/>
      <c r="CB18" s="805">
        <v>1</v>
      </c>
      <c r="CC18" s="805">
        <v>0</v>
      </c>
      <c r="CD18" s="806">
        <v>0</v>
      </c>
      <c r="CE18" s="806">
        <v>1</v>
      </c>
      <c r="CF18" s="806">
        <v>0</v>
      </c>
      <c r="CG18" s="806">
        <f>1-CF18/1</f>
        <v>1</v>
      </c>
      <c r="CH18" s="806">
        <v>0</v>
      </c>
      <c r="CI18" s="806">
        <f>1-CH18/1</f>
        <v>1</v>
      </c>
      <c r="CJ18" s="806">
        <v>0</v>
      </c>
      <c r="CK18" s="806">
        <v>1</v>
      </c>
      <c r="CL18" s="719">
        <f>BX18+CB18+CD18+CF18</f>
        <v>5</v>
      </c>
      <c r="CM18" s="690">
        <f>1-CL18/9</f>
        <v>0.4444444444444444</v>
      </c>
      <c r="CN18" s="714"/>
      <c r="CO18" s="717">
        <f>1-CN18/6</f>
        <v>1</v>
      </c>
      <c r="CP18" s="708"/>
      <c r="CQ18" s="708">
        <f>1-CP18/11</f>
        <v>1</v>
      </c>
      <c r="CR18" s="691"/>
      <c r="CS18" s="690">
        <f>1-CR18/3</f>
        <v>1</v>
      </c>
      <c r="CT18" s="691"/>
      <c r="CU18" s="709">
        <f>1-CT18/2</f>
        <v>1</v>
      </c>
      <c r="CV18" s="704"/>
      <c r="CW18" s="690">
        <f>1-CV18/5</f>
        <v>1</v>
      </c>
      <c r="CX18" s="804">
        <f>2+2</f>
        <v>4</v>
      </c>
      <c r="CY18" s="1022">
        <f>1-CX18/12</f>
        <v>0.6666666666666667</v>
      </c>
      <c r="CZ18" s="718"/>
      <c r="DA18" s="717">
        <f>1-CZ18/7</f>
        <v>1</v>
      </c>
      <c r="DB18" s="719">
        <f>CR18+CT18+CX18+CZ18+CV18</f>
        <v>4</v>
      </c>
      <c r="DC18" s="690">
        <f>1-DB18/14</f>
        <v>0.7142857142857143</v>
      </c>
      <c r="DD18" s="806"/>
      <c r="DE18" s="807"/>
      <c r="DF18" s="806">
        <v>3</v>
      </c>
      <c r="DG18" s="807">
        <f>1-DF18/3</f>
        <v>0</v>
      </c>
      <c r="DH18" s="714"/>
      <c r="DI18" s="690">
        <f>1-DH18/30</f>
        <v>1</v>
      </c>
      <c r="DJ18" s="806"/>
      <c r="DK18" s="806"/>
      <c r="DL18" s="806">
        <v>0</v>
      </c>
      <c r="DM18" s="807">
        <f>1-DL18/14</f>
        <v>1</v>
      </c>
      <c r="DN18" s="691">
        <f>DF18+DL18</f>
        <v>3</v>
      </c>
      <c r="DO18" s="688">
        <f>1-DN18/5</f>
        <v>0.4</v>
      </c>
      <c r="DP18" s="808">
        <f>48+49</f>
        <v>97</v>
      </c>
      <c r="DQ18" s="844">
        <f>1-DP18/(525+494)*100/100</f>
        <v>0.9048086359175662</v>
      </c>
      <c r="DR18" s="808">
        <v>3</v>
      </c>
      <c r="DS18" s="844">
        <f>1-DR18/(9)*100/100</f>
        <v>0.6666666666666667</v>
      </c>
      <c r="DT18" s="720">
        <v>1</v>
      </c>
      <c r="DU18" s="690">
        <v>1</v>
      </c>
      <c r="DV18" s="720"/>
      <c r="DW18" s="720">
        <v>1</v>
      </c>
      <c r="DX18" s="690">
        <v>1</v>
      </c>
      <c r="DY18" s="720"/>
      <c r="DZ18" s="720">
        <v>1</v>
      </c>
      <c r="EA18" s="690">
        <v>1</v>
      </c>
      <c r="EB18" s="720"/>
      <c r="EC18" s="720">
        <v>1</v>
      </c>
      <c r="ED18" s="690">
        <v>1</v>
      </c>
      <c r="EE18" s="720"/>
      <c r="EF18" s="720">
        <v>1</v>
      </c>
      <c r="EG18" s="690">
        <v>1</v>
      </c>
      <c r="EH18" s="720"/>
      <c r="EI18" s="720">
        <v>1</v>
      </c>
      <c r="EJ18" s="690">
        <v>1</v>
      </c>
      <c r="EK18" s="720"/>
      <c r="EL18" s="720"/>
      <c r="EM18" s="690"/>
      <c r="EN18" s="708"/>
      <c r="EO18" s="690"/>
      <c r="EP18" s="708">
        <f>D18+F18+J18+N18+R18+V18+Z18+AD18+AI18+AM18+AQ18+AW18+BA18+BB18+BF18+BM18+BR18+BU18+BW18+CM18+DC18+DO18+DQ18+DS18</f>
        <v>17.305603604563466</v>
      </c>
      <c r="EQ18" s="704">
        <f>EQ17+1</f>
        <v>7</v>
      </c>
      <c r="ER18" s="721">
        <f>ER45</f>
        <v>1.6333333333333329</v>
      </c>
      <c r="ES18" s="708" t="s">
        <v>117</v>
      </c>
      <c r="EU18" s="54">
        <v>21.97765124385201</v>
      </c>
      <c r="EV18" s="54">
        <v>11</v>
      </c>
      <c r="EW18" s="54">
        <v>1.552704073700215</v>
      </c>
      <c r="EX18" s="54" t="s">
        <v>117</v>
      </c>
    </row>
    <row r="19" spans="1:154" s="54" customFormat="1" ht="18.75">
      <c r="A19" s="692">
        <f t="shared" si="0"/>
        <v>10</v>
      </c>
      <c r="B19" s="694" t="s">
        <v>122</v>
      </c>
      <c r="C19" s="704">
        <v>0</v>
      </c>
      <c r="D19" s="690">
        <v>1</v>
      </c>
      <c r="E19" s="704">
        <v>0</v>
      </c>
      <c r="F19" s="690">
        <v>1</v>
      </c>
      <c r="G19" s="705">
        <v>5353.2755</v>
      </c>
      <c r="H19" s="705">
        <v>9916.48897</v>
      </c>
      <c r="I19" s="706">
        <f>(G19-H19)/G19*100%</f>
        <v>-0.8524152119576137</v>
      </c>
      <c r="J19" s="688">
        <v>0</v>
      </c>
      <c r="K19" s="797">
        <v>14039.89567</v>
      </c>
      <c r="L19" s="797">
        <v>14849.44567</v>
      </c>
      <c r="M19" s="798">
        <f>K19/L19*100%</f>
        <v>0.9454828134335335</v>
      </c>
      <c r="N19" s="836">
        <v>1</v>
      </c>
      <c r="O19" s="797">
        <v>14039.89567</v>
      </c>
      <c r="P19" s="797">
        <v>19378.82395</v>
      </c>
      <c r="Q19" s="798">
        <f>O19/P19*100%</f>
        <v>0.7244967860910878</v>
      </c>
      <c r="R19" s="837">
        <v>1</v>
      </c>
      <c r="S19" s="797">
        <f>K19</f>
        <v>14039.89567</v>
      </c>
      <c r="T19" s="797">
        <v>5764.25056</v>
      </c>
      <c r="U19" s="799">
        <f>S19/T19*100%</f>
        <v>2.4356844873169425</v>
      </c>
      <c r="V19" s="838">
        <f>IF(U19&gt;100%,1,0)</f>
        <v>1</v>
      </c>
      <c r="W19" s="797">
        <v>518.037</v>
      </c>
      <c r="X19" s="797">
        <v>426.442</v>
      </c>
      <c r="Y19" s="800">
        <f>X19/W19*100%</f>
        <v>0.8231883050824554</v>
      </c>
      <c r="Z19" s="837">
        <f>IF(0&lt;Y19&gt;100%,1-Y19/100%,0)</f>
        <v>0.17681169491754456</v>
      </c>
      <c r="AA19" s="797">
        <v>426.442</v>
      </c>
      <c r="AB19" s="797">
        <v>13909.305</v>
      </c>
      <c r="AC19" s="799">
        <f>AA19/AB19*100%</f>
        <v>0.030658756853775223</v>
      </c>
      <c r="AD19" s="839">
        <f>IF(0&lt;AC19&gt;100%,1-AC19/100%,0)</f>
        <v>0.9693412431462248</v>
      </c>
      <c r="AE19" s="797">
        <v>809.55</v>
      </c>
      <c r="AF19" s="797">
        <v>14849.44567</v>
      </c>
      <c r="AG19" s="797">
        <v>217.67</v>
      </c>
      <c r="AH19" s="798">
        <f>AE19/(AF19-AG19)*100%</f>
        <v>0.05532821294272891</v>
      </c>
      <c r="AI19" s="838">
        <v>1</v>
      </c>
      <c r="AJ19" s="801">
        <v>-12833.26747</v>
      </c>
      <c r="AK19" s="801">
        <v>-23130.43286</v>
      </c>
      <c r="AL19" s="801">
        <f>AJ19-AK19</f>
        <v>10297.16539</v>
      </c>
      <c r="AM19" s="836">
        <f>IF(AL19&gt;100%,1,0)</f>
        <v>1</v>
      </c>
      <c r="AN19" s="840">
        <f>(910000+2117300)/1000</f>
        <v>3027.3</v>
      </c>
      <c r="AO19" s="708">
        <v>3199.5</v>
      </c>
      <c r="AP19" s="706">
        <f>AN19*100%/AO19</f>
        <v>0.9461790904828881</v>
      </c>
      <c r="AQ19" s="709">
        <v>1</v>
      </c>
      <c r="AR19" s="710">
        <f>AT19*100/AT45</f>
        <v>8.9833983011013</v>
      </c>
      <c r="AS19" s="711">
        <v>33829.58</v>
      </c>
      <c r="AT19" s="843">
        <f>33829576.61/1000</f>
        <v>33829.57661</v>
      </c>
      <c r="AU19" s="841">
        <v>4908.370650000001</v>
      </c>
      <c r="AV19" s="706">
        <f>AU19*100%/AS19</f>
        <v>0.14509109040076762</v>
      </c>
      <c r="AW19" s="689">
        <v>1</v>
      </c>
      <c r="AX19" s="842">
        <f>2996600/1000</f>
        <v>2996.6</v>
      </c>
      <c r="AY19" s="708">
        <f>AX19*100/AN19</f>
        <v>98.98589502196677</v>
      </c>
      <c r="AZ19" s="708">
        <f>AX19*100/AU19</f>
        <v>61.05080919265947</v>
      </c>
      <c r="BA19" s="689">
        <v>0</v>
      </c>
      <c r="BB19" s="689">
        <v>1</v>
      </c>
      <c r="BC19" s="713">
        <v>3752</v>
      </c>
      <c r="BD19" s="708">
        <f>AS19*1000/BC19</f>
        <v>9016.412579957356</v>
      </c>
      <c r="BE19" s="706">
        <f>BD19/BD59*100%</f>
        <v>2.3992284124909156</v>
      </c>
      <c r="BF19" s="689">
        <v>1</v>
      </c>
      <c r="BG19" s="689">
        <f>BD19*100/BD53</f>
        <v>239.92284124909156</v>
      </c>
      <c r="BH19" s="690">
        <f>BJ19*100/AN19</f>
        <v>22.742699765467574</v>
      </c>
      <c r="BI19" s="690">
        <f>BJ19*100/AT19</f>
        <v>2.035171051465311</v>
      </c>
      <c r="BJ19" s="802">
        <v>688.48975</v>
      </c>
      <c r="BK19" s="708">
        <f>BJ19*1000/BC19</f>
        <v>183.49940031982942</v>
      </c>
      <c r="BL19" s="706">
        <f>BK19/BK59*100%</f>
        <v>0.4848324886911578</v>
      </c>
      <c r="BM19" s="689">
        <v>0</v>
      </c>
      <c r="BN19" s="714">
        <v>835.4</v>
      </c>
      <c r="BO19" s="715">
        <v>177.09</v>
      </c>
      <c r="BP19" s="706">
        <f>BO19/(BN19+BO19)</f>
        <v>0.17490543116475224</v>
      </c>
      <c r="BQ19" s="706"/>
      <c r="BR19" s="690"/>
      <c r="BS19" s="712">
        <f>AT19</f>
        <v>33829.57661</v>
      </c>
      <c r="BT19" s="707">
        <f>BS19*100%/AT19</f>
        <v>1</v>
      </c>
      <c r="BU19" s="716">
        <v>1</v>
      </c>
      <c r="BV19" s="803">
        <v>0</v>
      </c>
      <c r="BW19" s="844">
        <f>1-(BV19/100)</f>
        <v>1</v>
      </c>
      <c r="BX19" s="804">
        <f>2+2</f>
        <v>4</v>
      </c>
      <c r="BY19" s="1022">
        <f>(1-BX19/12)</f>
        <v>0.6666666666666667</v>
      </c>
      <c r="BZ19" s="805"/>
      <c r="CA19" s="805"/>
      <c r="CB19" s="805">
        <v>1</v>
      </c>
      <c r="CC19" s="805">
        <v>0</v>
      </c>
      <c r="CD19" s="806">
        <v>0</v>
      </c>
      <c r="CE19" s="806">
        <v>1</v>
      </c>
      <c r="CF19" s="806">
        <v>0</v>
      </c>
      <c r="CG19" s="806">
        <f>1-CF19/1</f>
        <v>1</v>
      </c>
      <c r="CH19" s="806">
        <v>0</v>
      </c>
      <c r="CI19" s="806">
        <f>1-CH19/1</f>
        <v>1</v>
      </c>
      <c r="CJ19" s="806">
        <v>0</v>
      </c>
      <c r="CK19" s="806">
        <v>1</v>
      </c>
      <c r="CL19" s="719">
        <f>BX19+CB19+CD19+CF19</f>
        <v>5</v>
      </c>
      <c r="CM19" s="690">
        <f>1-CL19/9</f>
        <v>0.4444444444444444</v>
      </c>
      <c r="CN19" s="714"/>
      <c r="CO19" s="717">
        <f>1-CN19/6</f>
        <v>1</v>
      </c>
      <c r="CP19" s="708"/>
      <c r="CQ19" s="708">
        <f>1-CP19/11</f>
        <v>1</v>
      </c>
      <c r="CR19" s="691"/>
      <c r="CS19" s="690">
        <f>1-CR19/3</f>
        <v>1</v>
      </c>
      <c r="CT19" s="691"/>
      <c r="CU19" s="709">
        <f>1-CT19/2</f>
        <v>1</v>
      </c>
      <c r="CV19" s="704"/>
      <c r="CW19" s="690">
        <f>1-CV19/5</f>
        <v>1</v>
      </c>
      <c r="CX19" s="804">
        <f>2+2</f>
        <v>4</v>
      </c>
      <c r="CY19" s="1022">
        <f>1-CX19/12</f>
        <v>0.6666666666666667</v>
      </c>
      <c r="CZ19" s="718">
        <v>5</v>
      </c>
      <c r="DA19" s="717">
        <f>1-CZ19/7</f>
        <v>0.2857142857142857</v>
      </c>
      <c r="DB19" s="719">
        <f>CR19+CT19+CX19+CZ19+CV19</f>
        <v>9</v>
      </c>
      <c r="DC19" s="690">
        <f>1-DB19/14</f>
        <v>0.3571428571428571</v>
      </c>
      <c r="DD19" s="806"/>
      <c r="DE19" s="807"/>
      <c r="DF19" s="806">
        <v>0</v>
      </c>
      <c r="DG19" s="807">
        <f>1-DF19/3</f>
        <v>1</v>
      </c>
      <c r="DH19" s="714"/>
      <c r="DI19" s="690">
        <f>1-DH19/30</f>
        <v>1</v>
      </c>
      <c r="DJ19" s="806"/>
      <c r="DK19" s="806"/>
      <c r="DL19" s="806">
        <v>0</v>
      </c>
      <c r="DM19" s="807">
        <f>1-DL19/14</f>
        <v>1</v>
      </c>
      <c r="DN19" s="691">
        <f>DF19+DL19</f>
        <v>0</v>
      </c>
      <c r="DO19" s="688">
        <f>1-DN19/5</f>
        <v>1</v>
      </c>
      <c r="DP19" s="808">
        <f>40+41</f>
        <v>81</v>
      </c>
      <c r="DQ19" s="844">
        <f>1-DP19/(401+410)*100/100</f>
        <v>0.9001233045622687</v>
      </c>
      <c r="DR19" s="808">
        <v>5</v>
      </c>
      <c r="DS19" s="844">
        <f>1-DR19/(9)*100/100</f>
        <v>0.4444444444444444</v>
      </c>
      <c r="DT19" s="720">
        <v>1</v>
      </c>
      <c r="DU19" s="690">
        <v>1</v>
      </c>
      <c r="DV19" s="720"/>
      <c r="DW19" s="720">
        <v>1</v>
      </c>
      <c r="DX19" s="690">
        <v>1</v>
      </c>
      <c r="DY19" s="720"/>
      <c r="DZ19" s="720">
        <v>1</v>
      </c>
      <c r="EA19" s="690">
        <v>1</v>
      </c>
      <c r="EB19" s="720"/>
      <c r="EC19" s="720">
        <v>1</v>
      </c>
      <c r="ED19" s="690">
        <v>1</v>
      </c>
      <c r="EE19" s="720"/>
      <c r="EF19" s="720">
        <v>1</v>
      </c>
      <c r="EG19" s="690">
        <v>1</v>
      </c>
      <c r="EH19" s="720"/>
      <c r="EI19" s="720">
        <v>1</v>
      </c>
      <c r="EJ19" s="690">
        <v>1</v>
      </c>
      <c r="EK19" s="720"/>
      <c r="EL19" s="720"/>
      <c r="EM19" s="690"/>
      <c r="EN19" s="708"/>
      <c r="EO19" s="690"/>
      <c r="EP19" s="708">
        <f>D19+F19+J19+N19+R19+V19+Z19+AD19+AI19+AM19+AQ19+AW19+BA19+BB19+BF19+BM19+BR19+BU19+BW19+CM19+DC19+DO19+DQ19+DS19</f>
        <v>17.292307988657782</v>
      </c>
      <c r="EQ19" s="704">
        <f>EQ18+1</f>
        <v>8</v>
      </c>
      <c r="ER19" s="736">
        <f>ER41</f>
        <v>1.6333333333333329</v>
      </c>
      <c r="ES19" s="708" t="s">
        <v>117</v>
      </c>
      <c r="EU19" s="54">
        <v>22.12619982637446</v>
      </c>
      <c r="EV19" s="54">
        <v>9</v>
      </c>
      <c r="EW19" s="54">
        <v>1.552704073700215</v>
      </c>
      <c r="EX19" s="54" t="s">
        <v>117</v>
      </c>
    </row>
    <row r="20" spans="1:154" s="54" customFormat="1" ht="37.5">
      <c r="A20" s="692">
        <f t="shared" si="0"/>
        <v>11</v>
      </c>
      <c r="B20" s="694" t="s">
        <v>140</v>
      </c>
      <c r="C20" s="704">
        <v>0</v>
      </c>
      <c r="D20" s="690">
        <v>1</v>
      </c>
      <c r="E20" s="704">
        <v>0</v>
      </c>
      <c r="F20" s="690">
        <v>1</v>
      </c>
      <c r="G20" s="705">
        <v>6736.713</v>
      </c>
      <c r="H20" s="705">
        <v>6527.9089</v>
      </c>
      <c r="I20" s="706">
        <f>(G20-H20)/G20*100%</f>
        <v>0.030994952582958393</v>
      </c>
      <c r="J20" s="688">
        <v>0.8</v>
      </c>
      <c r="K20" s="797">
        <v>3178.25019</v>
      </c>
      <c r="L20" s="797">
        <v>3640.22119</v>
      </c>
      <c r="M20" s="798">
        <f>K20/L20*100%</f>
        <v>0.8730926018262094</v>
      </c>
      <c r="N20" s="836">
        <v>1</v>
      </c>
      <c r="O20" s="797">
        <v>3178.25019</v>
      </c>
      <c r="P20" s="797">
        <v>8853.22003</v>
      </c>
      <c r="Q20" s="798">
        <f>O20/P20*100%</f>
        <v>0.3589936971215207</v>
      </c>
      <c r="R20" s="837">
        <f>IF(0%&lt;Q20&gt;45%,Q20/45%,1)</f>
        <v>0.7977637713811571</v>
      </c>
      <c r="S20" s="797">
        <f>K20</f>
        <v>3178.25019</v>
      </c>
      <c r="T20" s="797">
        <v>2599.7741</v>
      </c>
      <c r="U20" s="799">
        <f>S20/T20*100%</f>
        <v>1.2225101365537876</v>
      </c>
      <c r="V20" s="838">
        <f>IF(U20&gt;100%,1,0)</f>
        <v>1</v>
      </c>
      <c r="W20" s="797">
        <v>2148.624</v>
      </c>
      <c r="X20" s="797">
        <v>1611.603</v>
      </c>
      <c r="Y20" s="799">
        <f>X20/W20*100%</f>
        <v>0.7500628309094566</v>
      </c>
      <c r="Z20" s="837">
        <f>IF(0&lt;Y20&gt;100%,1-Y20/100%,0)</f>
        <v>0.24993716909054342</v>
      </c>
      <c r="AA20" s="797">
        <v>1611.603</v>
      </c>
      <c r="AB20" s="797">
        <v>2603.293</v>
      </c>
      <c r="AC20" s="799">
        <f>AA20/AB20*100%</f>
        <v>0.6190632402883579</v>
      </c>
      <c r="AD20" s="839">
        <f>IF(0&lt;AC20&gt;100%,1-AC20/100%,0)</f>
        <v>0.3809367597116421</v>
      </c>
      <c r="AE20" s="797">
        <v>461.971</v>
      </c>
      <c r="AF20" s="797">
        <v>3640.22119</v>
      </c>
      <c r="AG20" s="797">
        <v>86.381</v>
      </c>
      <c r="AH20" s="798">
        <f>AE20/(AF20-AG20)*100%</f>
        <v>0.12999205797152064</v>
      </c>
      <c r="AI20" s="838">
        <v>1</v>
      </c>
      <c r="AJ20" s="810">
        <v>-1387.29265</v>
      </c>
      <c r="AK20" s="810">
        <v>-374.85943</v>
      </c>
      <c r="AL20" s="797">
        <f>AJ20-AK20</f>
        <v>-1012.4332200000001</v>
      </c>
      <c r="AM20" s="836">
        <f>IF(AL20&gt;100%,1,0)</f>
        <v>0</v>
      </c>
      <c r="AN20" s="840">
        <f>(963480+1671091.48)/1000</f>
        <v>2634.57148</v>
      </c>
      <c r="AO20" s="708">
        <v>2669.3</v>
      </c>
      <c r="AP20" s="706">
        <f>AN20*100%/AO20</f>
        <v>0.986989652717941</v>
      </c>
      <c r="AQ20" s="709">
        <v>1</v>
      </c>
      <c r="AR20" s="710">
        <f>AT20*100/AT47</f>
        <v>3.4338046723442615</v>
      </c>
      <c r="AS20" s="711">
        <v>12937.85</v>
      </c>
      <c r="AT20" s="843">
        <f>12930981.61/1000</f>
        <v>12930.981609999999</v>
      </c>
      <c r="AU20" s="841">
        <v>4412.161</v>
      </c>
      <c r="AV20" s="706">
        <f>AU20*100%/AS20</f>
        <v>0.3410273731725132</v>
      </c>
      <c r="AW20" s="689">
        <v>1</v>
      </c>
      <c r="AX20" s="842">
        <f>2600180/1000</f>
        <v>2600.18</v>
      </c>
      <c r="AY20" s="708">
        <f>AX20*100/AN20</f>
        <v>98.69460820246941</v>
      </c>
      <c r="AZ20" s="708">
        <f>AX20*100/AU20</f>
        <v>58.932119657464895</v>
      </c>
      <c r="BA20" s="689">
        <v>0</v>
      </c>
      <c r="BB20" s="689">
        <v>1</v>
      </c>
      <c r="BC20" s="713">
        <v>2185</v>
      </c>
      <c r="BD20" s="708">
        <f>AS20*1000/BC20</f>
        <v>5921.212814645309</v>
      </c>
      <c r="BE20" s="706">
        <f>BD20/BD61*100%</f>
        <v>1.5756091344889986</v>
      </c>
      <c r="BF20" s="689">
        <v>1</v>
      </c>
      <c r="BG20" s="689">
        <f>BD20*100/BD52</f>
        <v>157.56091344889987</v>
      </c>
      <c r="BH20" s="690">
        <f>BJ20*100/AN20</f>
        <v>36.20271407477622</v>
      </c>
      <c r="BI20" s="690">
        <f>BJ20*100/AT20</f>
        <v>7.375978164429546</v>
      </c>
      <c r="BJ20" s="802">
        <v>953.78638</v>
      </c>
      <c r="BK20" s="708">
        <f>BJ20*1000/BC20</f>
        <v>436.5155057208238</v>
      </c>
      <c r="BL20" s="706">
        <f>BK20/BK61*100%</f>
        <v>1.1533383685289151</v>
      </c>
      <c r="BM20" s="689">
        <v>1</v>
      </c>
      <c r="BN20" s="714">
        <v>322.8</v>
      </c>
      <c r="BO20" s="715">
        <v>195.07</v>
      </c>
      <c r="BP20" s="706">
        <f>BO20/(BN20+BO20)</f>
        <v>0.3766775445575144</v>
      </c>
      <c r="BQ20" s="706"/>
      <c r="BR20" s="690"/>
      <c r="BS20" s="712">
        <f>AT20</f>
        <v>12930.981609999999</v>
      </c>
      <c r="BT20" s="707">
        <f>BS20*100%/AT20</f>
        <v>1</v>
      </c>
      <c r="BU20" s="716">
        <v>1</v>
      </c>
      <c r="BV20" s="803">
        <v>0</v>
      </c>
      <c r="BW20" s="844">
        <f>1-(BV20/100)</f>
        <v>1</v>
      </c>
      <c r="BX20" s="804">
        <f>3+4</f>
        <v>7</v>
      </c>
      <c r="BY20" s="1022">
        <f>(1-BX20/12)</f>
        <v>0.41666666666666663</v>
      </c>
      <c r="BZ20" s="805"/>
      <c r="CA20" s="805"/>
      <c r="CB20" s="805">
        <v>1</v>
      </c>
      <c r="CC20" s="805">
        <v>0</v>
      </c>
      <c r="CD20" s="806">
        <v>1</v>
      </c>
      <c r="CE20" s="806">
        <v>0</v>
      </c>
      <c r="CF20" s="806">
        <v>0</v>
      </c>
      <c r="CG20" s="806">
        <f>1-CF20/1</f>
        <v>1</v>
      </c>
      <c r="CH20" s="806">
        <v>0</v>
      </c>
      <c r="CI20" s="806">
        <f>1-CH20/1</f>
        <v>1</v>
      </c>
      <c r="CJ20" s="806">
        <v>1</v>
      </c>
      <c r="CK20" s="806">
        <v>0</v>
      </c>
      <c r="CL20" s="719">
        <f>BX20+CB20+CD20+CF20</f>
        <v>9</v>
      </c>
      <c r="CM20" s="690">
        <f>1-CL20/9</f>
        <v>0</v>
      </c>
      <c r="CN20" s="714"/>
      <c r="CO20" s="717">
        <f>1-CN20/6</f>
        <v>1</v>
      </c>
      <c r="CP20" s="708"/>
      <c r="CQ20" s="708">
        <f>1-CP20/11</f>
        <v>1</v>
      </c>
      <c r="CR20" s="691"/>
      <c r="CS20" s="690">
        <f>1-CR20/3</f>
        <v>1</v>
      </c>
      <c r="CT20" s="691"/>
      <c r="CU20" s="709">
        <f>1-CT20/2</f>
        <v>1</v>
      </c>
      <c r="CV20" s="704"/>
      <c r="CW20" s="690">
        <f>1-CV20/5</f>
        <v>1</v>
      </c>
      <c r="CX20" s="804">
        <f>4+3</f>
        <v>7</v>
      </c>
      <c r="CY20" s="1022">
        <f>1-CX20/12</f>
        <v>0.41666666666666663</v>
      </c>
      <c r="CZ20" s="718"/>
      <c r="DA20" s="717">
        <f>1-CZ20/7</f>
        <v>1</v>
      </c>
      <c r="DB20" s="719">
        <f>CX20+CZ20</f>
        <v>7</v>
      </c>
      <c r="DC20" s="690">
        <f>1-DB20/14</f>
        <v>0.5</v>
      </c>
      <c r="DD20" s="806"/>
      <c r="DE20" s="807"/>
      <c r="DF20" s="806">
        <v>0</v>
      </c>
      <c r="DG20" s="807">
        <f>1-DF20/3</f>
        <v>1</v>
      </c>
      <c r="DH20" s="714"/>
      <c r="DI20" s="690">
        <f>1-DH20/30</f>
        <v>1</v>
      </c>
      <c r="DJ20" s="806"/>
      <c r="DK20" s="806"/>
      <c r="DL20" s="806">
        <v>0</v>
      </c>
      <c r="DM20" s="807">
        <f>1-DL20/14</f>
        <v>1</v>
      </c>
      <c r="DN20" s="691">
        <f>DF20+DL20</f>
        <v>0</v>
      </c>
      <c r="DO20" s="688">
        <f>1-DN20/5</f>
        <v>1</v>
      </c>
      <c r="DP20" s="808">
        <f>78+80</f>
        <v>158</v>
      </c>
      <c r="DQ20" s="844">
        <f>1-DP20/(388+403)*100/100</f>
        <v>0.800252844500632</v>
      </c>
      <c r="DR20" s="808">
        <v>4</v>
      </c>
      <c r="DS20" s="844">
        <f>1-DR20/(9)*100/100</f>
        <v>0.5555555555555556</v>
      </c>
      <c r="DT20" s="720">
        <v>1</v>
      </c>
      <c r="DU20" s="690">
        <v>1</v>
      </c>
      <c r="DV20" s="720"/>
      <c r="DW20" s="720">
        <v>1</v>
      </c>
      <c r="DX20" s="690">
        <v>1</v>
      </c>
      <c r="DY20" s="720"/>
      <c r="DZ20" s="720">
        <v>1</v>
      </c>
      <c r="EA20" s="690">
        <v>1</v>
      </c>
      <c r="EB20" s="720"/>
      <c r="EC20" s="720">
        <v>1</v>
      </c>
      <c r="ED20" s="690">
        <v>1</v>
      </c>
      <c r="EE20" s="720"/>
      <c r="EF20" s="720">
        <v>1</v>
      </c>
      <c r="EG20" s="690">
        <v>1</v>
      </c>
      <c r="EH20" s="720"/>
      <c r="EI20" s="720">
        <v>1</v>
      </c>
      <c r="EJ20" s="690">
        <v>1</v>
      </c>
      <c r="EK20" s="720"/>
      <c r="EL20" s="720"/>
      <c r="EM20" s="690"/>
      <c r="EN20" s="708"/>
      <c r="EO20" s="690"/>
      <c r="EP20" s="708">
        <f>D20+F20+J20+N20+R20+V20+Z20+AD20+AI20+AM20+AQ20+AW20+BA20+BB20+BF20+BM20+BR20+BU20+BW20+CM20+DC20+DO20+DQ20+DS20</f>
        <v>17.084446100239532</v>
      </c>
      <c r="EQ20" s="704">
        <f>EQ19+1</f>
        <v>9</v>
      </c>
      <c r="ER20" s="736">
        <f>ER43</f>
        <v>1.6333333333333329</v>
      </c>
      <c r="ES20" s="708" t="s">
        <v>117</v>
      </c>
      <c r="EU20" s="54">
        <v>22.003913579326042</v>
      </c>
      <c r="EV20" s="54">
        <v>10</v>
      </c>
      <c r="EW20" s="54">
        <v>1.552704073700215</v>
      </c>
      <c r="EX20" s="54" t="s">
        <v>117</v>
      </c>
    </row>
    <row r="21" spans="1:154" s="54" customFormat="1" ht="18.75">
      <c r="A21" s="692">
        <f t="shared" si="0"/>
        <v>12</v>
      </c>
      <c r="B21" s="695" t="s">
        <v>125</v>
      </c>
      <c r="C21" s="722">
        <v>0</v>
      </c>
      <c r="D21" s="698">
        <v>1</v>
      </c>
      <c r="E21" s="722">
        <v>0</v>
      </c>
      <c r="F21" s="698">
        <v>1</v>
      </c>
      <c r="G21" s="703">
        <v>6324.1</v>
      </c>
      <c r="H21" s="703">
        <v>2210.23561</v>
      </c>
      <c r="I21" s="723">
        <f>(G21-H21)/G21*100%</f>
        <v>0.6505059043974637</v>
      </c>
      <c r="J21" s="700">
        <v>0</v>
      </c>
      <c r="K21" s="797">
        <v>2750.31051</v>
      </c>
      <c r="L21" s="797">
        <v>4887.93651</v>
      </c>
      <c r="M21" s="798">
        <f>K21/L21*100%</f>
        <v>0.562673124819291</v>
      </c>
      <c r="N21" s="836">
        <v>0.8</v>
      </c>
      <c r="O21" s="797">
        <v>2750.31051</v>
      </c>
      <c r="P21" s="797">
        <v>7306.77793</v>
      </c>
      <c r="Q21" s="798">
        <f>O21/P21*100%</f>
        <v>0.37640537817740954</v>
      </c>
      <c r="R21" s="837">
        <f>IF(0%&lt;Q21&gt;45%,Q21/45%,1)</f>
        <v>0.8364563959497989</v>
      </c>
      <c r="S21" s="797">
        <f>K21</f>
        <v>2750.31051</v>
      </c>
      <c r="T21" s="797">
        <v>704.95192</v>
      </c>
      <c r="U21" s="799">
        <f>S21/T21*100%</f>
        <v>3.901415730593371</v>
      </c>
      <c r="V21" s="838">
        <f>IF(U21&gt;100%,1,0)</f>
        <v>1</v>
      </c>
      <c r="W21" s="797">
        <v>720.737</v>
      </c>
      <c r="X21" s="797">
        <v>616.542</v>
      </c>
      <c r="Y21" s="800">
        <f>X21/W21*100%</f>
        <v>0.855432702913823</v>
      </c>
      <c r="Z21" s="837">
        <f>IF(0&lt;Y21&gt;100%,1-Y21/100%,0)</f>
        <v>0.144567297086177</v>
      </c>
      <c r="AA21" s="797">
        <v>616.542</v>
      </c>
      <c r="AB21" s="797">
        <v>2053.238</v>
      </c>
      <c r="AC21" s="799">
        <f>AA21/AB21*100%</f>
        <v>0.30027790251300635</v>
      </c>
      <c r="AD21" s="839">
        <f>IF(0&lt;AC21&gt;100%,1-AC21/100%,0)</f>
        <v>0.6997220974869937</v>
      </c>
      <c r="AE21" s="797">
        <v>2134.626</v>
      </c>
      <c r="AF21" s="797">
        <v>4887.93651</v>
      </c>
      <c r="AG21" s="797">
        <v>175.216</v>
      </c>
      <c r="AH21" s="798">
        <f>AE21/(AF21-AG21)*100%</f>
        <v>0.45294983979433995</v>
      </c>
      <c r="AI21" s="838">
        <v>0.8</v>
      </c>
      <c r="AJ21" s="801">
        <v>-128.40503</v>
      </c>
      <c r="AK21" s="801">
        <v>-433.6885</v>
      </c>
      <c r="AL21" s="801">
        <f>AJ21-AK21</f>
        <v>305.28346999999997</v>
      </c>
      <c r="AM21" s="836">
        <f>IF(AL21&gt;100%,1,0)</f>
        <v>1</v>
      </c>
      <c r="AN21" s="840">
        <f>(557200.5+1617641.51)/1000</f>
        <v>2174.84201</v>
      </c>
      <c r="AO21" s="727">
        <v>3201.1</v>
      </c>
      <c r="AP21" s="723">
        <f>AN21*100%/AO21</f>
        <v>0.6794045827996625</v>
      </c>
      <c r="AQ21" s="746">
        <v>1</v>
      </c>
      <c r="AR21" s="747">
        <f>AT21*100/AT46</f>
        <v>3.2205428273650494</v>
      </c>
      <c r="AS21" s="725">
        <v>13408.1</v>
      </c>
      <c r="AT21" s="843">
        <f>12127882.64/1000</f>
        <v>12127.88264</v>
      </c>
      <c r="AU21" s="841">
        <v>3013.3629100000003</v>
      </c>
      <c r="AV21" s="723">
        <f>AU21*100%/AS21</f>
        <v>0.22474197761054887</v>
      </c>
      <c r="AW21" s="697">
        <v>1</v>
      </c>
      <c r="AX21" s="842">
        <f>2028316.66/1000</f>
        <v>2028.31666</v>
      </c>
      <c r="AY21" s="727">
        <f>AX21*100/AN21</f>
        <v>93.26271290851146</v>
      </c>
      <c r="AZ21" s="727">
        <f>AX21*100/AU21</f>
        <v>67.31073291135716</v>
      </c>
      <c r="BA21" s="697">
        <v>0</v>
      </c>
      <c r="BB21" s="697">
        <v>1</v>
      </c>
      <c r="BC21" s="728">
        <v>3282</v>
      </c>
      <c r="BD21" s="727">
        <f>AS21*1000/BC21</f>
        <v>4085.3443022547226</v>
      </c>
      <c r="BE21" s="723">
        <f>BD21/BD60*100%</f>
        <v>1.0870924592077356</v>
      </c>
      <c r="BF21" s="697">
        <v>1</v>
      </c>
      <c r="BG21" s="697">
        <f>BD21*100/BD34</f>
        <v>108.70924592077354</v>
      </c>
      <c r="BH21" s="698">
        <f>BJ21*100/AN21</f>
        <v>99.36045791206692</v>
      </c>
      <c r="BI21" s="698">
        <f>BJ21*100/AT21</f>
        <v>17.8178915821039</v>
      </c>
      <c r="BJ21" s="802">
        <v>2160.93298</v>
      </c>
      <c r="BK21" s="727">
        <f>BJ21*1000/BC21</f>
        <v>658.4195551492992</v>
      </c>
      <c r="BL21" s="723">
        <f>BK21/BK60*100%</f>
        <v>1.7396416062917437</v>
      </c>
      <c r="BM21" s="697">
        <v>1</v>
      </c>
      <c r="BN21" s="729">
        <v>1251.7</v>
      </c>
      <c r="BO21" s="730">
        <v>88.77</v>
      </c>
      <c r="BP21" s="723">
        <f>BO21/(BN21+BO21)</f>
        <v>0.06622304117212618</v>
      </c>
      <c r="BQ21" s="723"/>
      <c r="BR21" s="698"/>
      <c r="BS21" s="712">
        <f>AT21</f>
        <v>12127.88264</v>
      </c>
      <c r="BT21" s="724">
        <f>BS21*100%/AT21</f>
        <v>1</v>
      </c>
      <c r="BU21" s="731">
        <v>1</v>
      </c>
      <c r="BV21" s="803">
        <v>0</v>
      </c>
      <c r="BW21" s="844">
        <f>1-(BV21/100)</f>
        <v>1</v>
      </c>
      <c r="BX21" s="804">
        <f>1+2</f>
        <v>3</v>
      </c>
      <c r="BY21" s="1022">
        <f>(1-BX21/12)</f>
        <v>0.75</v>
      </c>
      <c r="BZ21" s="805"/>
      <c r="CA21" s="805"/>
      <c r="CB21" s="805">
        <v>1</v>
      </c>
      <c r="CC21" s="805">
        <v>0</v>
      </c>
      <c r="CD21" s="806">
        <v>0</v>
      </c>
      <c r="CE21" s="806">
        <v>1</v>
      </c>
      <c r="CF21" s="806">
        <v>0</v>
      </c>
      <c r="CG21" s="806">
        <f>1-CF21/1</f>
        <v>1</v>
      </c>
      <c r="CH21" s="806">
        <v>0</v>
      </c>
      <c r="CI21" s="806">
        <f>1-CH21/1</f>
        <v>1</v>
      </c>
      <c r="CJ21" s="806">
        <v>0</v>
      </c>
      <c r="CK21" s="806">
        <v>1</v>
      </c>
      <c r="CL21" s="719">
        <f>BX21+CB21+CD21+CF21</f>
        <v>4</v>
      </c>
      <c r="CM21" s="690">
        <f>1-CL21/9</f>
        <v>0.5555555555555556</v>
      </c>
      <c r="CN21" s="729"/>
      <c r="CO21" s="732">
        <f>1-CN21/6</f>
        <v>1</v>
      </c>
      <c r="CP21" s="727"/>
      <c r="CQ21" s="727">
        <f>1-CP21/11</f>
        <v>1</v>
      </c>
      <c r="CR21" s="699"/>
      <c r="CS21" s="698">
        <f>1-CR21/3</f>
        <v>1</v>
      </c>
      <c r="CT21" s="699"/>
      <c r="CU21" s="746">
        <f>1-CT21/2</f>
        <v>1</v>
      </c>
      <c r="CV21" s="722"/>
      <c r="CW21" s="698">
        <f>1-CV21/5</f>
        <v>1</v>
      </c>
      <c r="CX21" s="804">
        <f>1+2</f>
        <v>3</v>
      </c>
      <c r="CY21" s="1022">
        <f>1-CX21/12</f>
        <v>0.75</v>
      </c>
      <c r="CZ21" s="733">
        <v>7</v>
      </c>
      <c r="DA21" s="732">
        <f>1-CZ21/7</f>
        <v>0</v>
      </c>
      <c r="DB21" s="719">
        <f>CX21+CZ21</f>
        <v>10</v>
      </c>
      <c r="DC21" s="690">
        <f>1-DB21/14</f>
        <v>0.2857142857142857</v>
      </c>
      <c r="DD21" s="806"/>
      <c r="DE21" s="807"/>
      <c r="DF21" s="806">
        <v>1</v>
      </c>
      <c r="DG21" s="807">
        <f>1-DF21/3</f>
        <v>0.6666666666666667</v>
      </c>
      <c r="DH21" s="729"/>
      <c r="DI21" s="698">
        <f>1-DH21/30</f>
        <v>1</v>
      </c>
      <c r="DJ21" s="806"/>
      <c r="DK21" s="806"/>
      <c r="DL21" s="806">
        <v>2</v>
      </c>
      <c r="DM21" s="807">
        <f>1-DL21/14</f>
        <v>0.8571428571428572</v>
      </c>
      <c r="DN21" s="691">
        <f>DF21+DL21</f>
        <v>3</v>
      </c>
      <c r="DO21" s="688">
        <f>1-DN21/5</f>
        <v>0.4</v>
      </c>
      <c r="DP21" s="808">
        <f>62+55</f>
        <v>117</v>
      </c>
      <c r="DQ21" s="844">
        <f>1-DP21/(311+276)*100/100</f>
        <v>0.8006814310051108</v>
      </c>
      <c r="DR21" s="808">
        <v>5</v>
      </c>
      <c r="DS21" s="844">
        <f>1-DR21/(9)*100/100</f>
        <v>0.4444444444444444</v>
      </c>
      <c r="DT21" s="735">
        <v>1</v>
      </c>
      <c r="DU21" s="698">
        <v>1</v>
      </c>
      <c r="DV21" s="735"/>
      <c r="DW21" s="735">
        <v>1</v>
      </c>
      <c r="DX21" s="698">
        <v>1</v>
      </c>
      <c r="DY21" s="735"/>
      <c r="DZ21" s="735">
        <v>1</v>
      </c>
      <c r="EA21" s="698">
        <v>1</v>
      </c>
      <c r="EB21" s="735"/>
      <c r="EC21" s="735">
        <v>1</v>
      </c>
      <c r="ED21" s="698">
        <v>1</v>
      </c>
      <c r="EE21" s="735"/>
      <c r="EF21" s="735">
        <v>1</v>
      </c>
      <c r="EG21" s="698">
        <v>1</v>
      </c>
      <c r="EH21" s="735"/>
      <c r="EI21" s="735">
        <v>0</v>
      </c>
      <c r="EJ21" s="698">
        <v>0</v>
      </c>
      <c r="EK21" s="735"/>
      <c r="EL21" s="735"/>
      <c r="EM21" s="698"/>
      <c r="EN21" s="727"/>
      <c r="EO21" s="698"/>
      <c r="EP21" s="727">
        <f>D21+F21+J21+N21+R21+V21+Z21+AD21+AI21+AM21+AQ21+AW21+BA21+BB21+BF21+BM21+BR21+BU21+BW21+CM21+DC21+DO21+DQ21+DS21</f>
        <v>16.767141507242364</v>
      </c>
      <c r="EQ21" s="704">
        <f>EQ20+1</f>
        <v>10</v>
      </c>
      <c r="ER21" s="736">
        <f>ER29</f>
        <v>1.6333333333333329</v>
      </c>
      <c r="ES21" s="809" t="s">
        <v>116</v>
      </c>
      <c r="EU21" s="54">
        <v>21.894669014050322</v>
      </c>
      <c r="EV21" s="54">
        <v>12</v>
      </c>
      <c r="EW21" s="54">
        <v>1.552704073700215</v>
      </c>
      <c r="EX21" s="54" t="s">
        <v>117</v>
      </c>
    </row>
    <row r="22" spans="1:154" s="54" customFormat="1" ht="18.75">
      <c r="A22" s="692">
        <f t="shared" si="0"/>
        <v>13</v>
      </c>
      <c r="B22" s="695" t="s">
        <v>137</v>
      </c>
      <c r="C22" s="722">
        <v>0</v>
      </c>
      <c r="D22" s="698">
        <v>1</v>
      </c>
      <c r="E22" s="722">
        <v>0</v>
      </c>
      <c r="F22" s="698">
        <v>1</v>
      </c>
      <c r="G22" s="703">
        <v>4881.6009</v>
      </c>
      <c r="H22" s="703">
        <v>6110.65719</v>
      </c>
      <c r="I22" s="723">
        <f>(G22-H22)/G22*100%</f>
        <v>-0.2517732021067104</v>
      </c>
      <c r="J22" s="696">
        <v>0</v>
      </c>
      <c r="K22" s="797">
        <v>2018.03065</v>
      </c>
      <c r="L22" s="797">
        <v>3272.65165</v>
      </c>
      <c r="M22" s="798">
        <f>K22/L22*100%</f>
        <v>0.6166347249332205</v>
      </c>
      <c r="N22" s="836">
        <v>0.8</v>
      </c>
      <c r="O22" s="797">
        <v>2018.03065</v>
      </c>
      <c r="P22" s="797">
        <v>6224.56167</v>
      </c>
      <c r="Q22" s="798">
        <f>O22/P22*100%</f>
        <v>0.32420445920330965</v>
      </c>
      <c r="R22" s="837">
        <f>IF(0%&lt;Q22&gt;45%,Q22/45%,1)</f>
        <v>0.7204543537851326</v>
      </c>
      <c r="S22" s="797">
        <f>K22</f>
        <v>2018.03065</v>
      </c>
      <c r="T22" s="797">
        <v>1871.08587</v>
      </c>
      <c r="U22" s="799">
        <f>S22/T22*100%</f>
        <v>1.078534492914534</v>
      </c>
      <c r="V22" s="838">
        <f>IF(U22&gt;100%,1,0)</f>
        <v>1</v>
      </c>
      <c r="W22" s="797">
        <v>936.408</v>
      </c>
      <c r="X22" s="797">
        <v>764.325</v>
      </c>
      <c r="Y22" s="800">
        <f>X22/W22*100%</f>
        <v>0.8162307455724428</v>
      </c>
      <c r="Z22" s="837">
        <f>IF(0&lt;Y22&gt;100%,1-Y22/100%,0)</f>
        <v>0.1837692544275572</v>
      </c>
      <c r="AA22" s="797">
        <v>764.325</v>
      </c>
      <c r="AB22" s="797">
        <v>1274.985</v>
      </c>
      <c r="AC22" s="799">
        <f>AA22/AB22*100%</f>
        <v>0.5994776409134226</v>
      </c>
      <c r="AD22" s="839">
        <f>IF(0&lt;AC22&gt;100%,1-AC22/100%,0)</f>
        <v>0.4005223590865774</v>
      </c>
      <c r="AE22" s="797">
        <v>1254.621</v>
      </c>
      <c r="AF22" s="797">
        <v>3272.65165</v>
      </c>
      <c r="AG22" s="797">
        <v>141.841</v>
      </c>
      <c r="AH22" s="798">
        <f>AE22/(AF22-AG22)*100%</f>
        <v>0.4007335927517687</v>
      </c>
      <c r="AI22" s="838">
        <v>0.8</v>
      </c>
      <c r="AJ22" s="801">
        <v>-878.95594</v>
      </c>
      <c r="AK22" s="801">
        <v>-97.64527</v>
      </c>
      <c r="AL22" s="801">
        <f>AJ22-AK22</f>
        <v>-781.3106700000001</v>
      </c>
      <c r="AM22" s="836">
        <f>IF(AL22&gt;100%,1,0)</f>
        <v>0</v>
      </c>
      <c r="AN22" s="840">
        <f>(685109.16+1660257.95)/1000</f>
        <v>2345.3671099999997</v>
      </c>
      <c r="AO22" s="727">
        <v>2803.9</v>
      </c>
      <c r="AP22" s="723">
        <f>AN22*100%/AO22</f>
        <v>0.8364660330254288</v>
      </c>
      <c r="AQ22" s="746">
        <v>1</v>
      </c>
      <c r="AR22" s="747">
        <f>AT22*100/AT43</f>
        <v>2.694077129083284</v>
      </c>
      <c r="AS22" s="725">
        <v>9508.82</v>
      </c>
      <c r="AT22" s="843">
        <f>10145324.25/1000</f>
        <v>10145.32425</v>
      </c>
      <c r="AU22" s="841">
        <v>4144.02181</v>
      </c>
      <c r="AV22" s="723">
        <f>AU22*100%/AS22</f>
        <v>0.43580820858949904</v>
      </c>
      <c r="AW22" s="697">
        <v>1</v>
      </c>
      <c r="AX22" s="842">
        <f>2185913.31/1000</f>
        <v>2185.91331</v>
      </c>
      <c r="AY22" s="727">
        <f>AX22*100/AN22</f>
        <v>93.20132872503702</v>
      </c>
      <c r="AZ22" s="727">
        <f>AX22*100/AU22</f>
        <v>52.74859569332238</v>
      </c>
      <c r="BA22" s="697">
        <v>0</v>
      </c>
      <c r="BB22" s="697">
        <v>1</v>
      </c>
      <c r="BC22" s="728">
        <v>2609</v>
      </c>
      <c r="BD22" s="727">
        <f>AS22*1000/BC22</f>
        <v>3644.622460712917</v>
      </c>
      <c r="BE22" s="723">
        <f>BD22/BD57*100%</f>
        <v>0.9698182822714555</v>
      </c>
      <c r="BF22" s="697">
        <v>0.9</v>
      </c>
      <c r="BG22" s="697">
        <f>BD22*100/BD43</f>
        <v>96.98182822714556</v>
      </c>
      <c r="BH22" s="698">
        <f>BJ22*100/AN22</f>
        <v>74.19787045619482</v>
      </c>
      <c r="BI22" s="698">
        <f>BJ22*100/AT22</f>
        <v>17.152851965278487</v>
      </c>
      <c r="BJ22" s="802">
        <v>1740.21245</v>
      </c>
      <c r="BK22" s="727">
        <f>BJ22*1000/BC22</f>
        <v>667.0036220774243</v>
      </c>
      <c r="BL22" s="723">
        <f>BK22/BK57*100%</f>
        <v>1.7623219775877834</v>
      </c>
      <c r="BM22" s="697">
        <v>1</v>
      </c>
      <c r="BN22" s="729">
        <v>821</v>
      </c>
      <c r="BO22" s="730">
        <v>255.15</v>
      </c>
      <c r="BP22" s="723">
        <f>BO22/(BN22+BO22)</f>
        <v>0.237095200483204</v>
      </c>
      <c r="BQ22" s="723"/>
      <c r="BR22" s="698"/>
      <c r="BS22" s="712">
        <f>AT22</f>
        <v>10145.32425</v>
      </c>
      <c r="BT22" s="724">
        <f>BS22*100%/AT22</f>
        <v>1</v>
      </c>
      <c r="BU22" s="731">
        <v>1</v>
      </c>
      <c r="BV22" s="803">
        <v>30.5718813561437</v>
      </c>
      <c r="BW22" s="844">
        <f>1-(BV22/100)</f>
        <v>0.694281186438563</v>
      </c>
      <c r="BX22" s="804">
        <f>1+2</f>
        <v>3</v>
      </c>
      <c r="BY22" s="1022">
        <f>(1-BX22/12)</f>
        <v>0.75</v>
      </c>
      <c r="BZ22" s="805"/>
      <c r="CA22" s="805"/>
      <c r="CB22" s="805">
        <v>0</v>
      </c>
      <c r="CC22" s="805">
        <v>1</v>
      </c>
      <c r="CD22" s="806">
        <v>0</v>
      </c>
      <c r="CE22" s="806">
        <v>1</v>
      </c>
      <c r="CF22" s="806">
        <v>0</v>
      </c>
      <c r="CG22" s="806">
        <f>1-CF22/1</f>
        <v>1</v>
      </c>
      <c r="CH22" s="806">
        <v>0</v>
      </c>
      <c r="CI22" s="806">
        <f>1-CH22/1</f>
        <v>1</v>
      </c>
      <c r="CJ22" s="806">
        <v>0</v>
      </c>
      <c r="CK22" s="806">
        <v>1</v>
      </c>
      <c r="CL22" s="719">
        <f>BX22+CB22+CD22+CF22</f>
        <v>3</v>
      </c>
      <c r="CM22" s="690">
        <f>1-CL22/9</f>
        <v>0.6666666666666667</v>
      </c>
      <c r="CN22" s="729"/>
      <c r="CO22" s="732">
        <f>1-CN22/6</f>
        <v>1</v>
      </c>
      <c r="CP22" s="727"/>
      <c r="CQ22" s="727">
        <f>1-CP22/11</f>
        <v>1</v>
      </c>
      <c r="CR22" s="699"/>
      <c r="CS22" s="698">
        <f>1-CR22/3</f>
        <v>1</v>
      </c>
      <c r="CT22" s="699"/>
      <c r="CU22" s="746">
        <f>1-CT22/2</f>
        <v>1</v>
      </c>
      <c r="CV22" s="722"/>
      <c r="CW22" s="698">
        <f>1-CV22/5</f>
        <v>1</v>
      </c>
      <c r="CX22" s="804">
        <f>2+2</f>
        <v>4</v>
      </c>
      <c r="CY22" s="1022">
        <f>1-CX22/12</f>
        <v>0.6666666666666667</v>
      </c>
      <c r="CZ22" s="733"/>
      <c r="DA22" s="732">
        <f>1-CZ22/7</f>
        <v>1</v>
      </c>
      <c r="DB22" s="719">
        <f>CX22+CZ22</f>
        <v>4</v>
      </c>
      <c r="DC22" s="690">
        <f>1-DB22/14</f>
        <v>0.7142857142857143</v>
      </c>
      <c r="DD22" s="806"/>
      <c r="DE22" s="807"/>
      <c r="DF22" s="806">
        <v>0</v>
      </c>
      <c r="DG22" s="807">
        <f>1-DF22/3</f>
        <v>1</v>
      </c>
      <c r="DH22" s="729"/>
      <c r="DI22" s="698">
        <f>1-DH22/30</f>
        <v>1</v>
      </c>
      <c r="DJ22" s="806"/>
      <c r="DK22" s="806"/>
      <c r="DL22" s="806">
        <v>0</v>
      </c>
      <c r="DM22" s="807">
        <f>1-DL22/14</f>
        <v>1</v>
      </c>
      <c r="DN22" s="691">
        <f>DF22+DL22</f>
        <v>0</v>
      </c>
      <c r="DO22" s="688">
        <f>1-DN22/5</f>
        <v>1</v>
      </c>
      <c r="DP22" s="808">
        <f>28+10</f>
        <v>38</v>
      </c>
      <c r="DQ22" s="844">
        <f>1-DP22/(371+307)*100/100</f>
        <v>0.943952802359882</v>
      </c>
      <c r="DR22" s="808">
        <v>1</v>
      </c>
      <c r="DS22" s="844">
        <f>1-DR22/(9)*100/100</f>
        <v>0.8888888888888888</v>
      </c>
      <c r="DT22" s="735">
        <v>1</v>
      </c>
      <c r="DU22" s="698">
        <v>1</v>
      </c>
      <c r="DV22" s="735">
        <v>1</v>
      </c>
      <c r="DW22" s="735">
        <v>1</v>
      </c>
      <c r="DX22" s="698">
        <v>1</v>
      </c>
      <c r="DY22" s="735"/>
      <c r="DZ22" s="735">
        <v>1</v>
      </c>
      <c r="EA22" s="698">
        <v>1</v>
      </c>
      <c r="EB22" s="735"/>
      <c r="EC22" s="735">
        <v>1</v>
      </c>
      <c r="ED22" s="698">
        <v>1</v>
      </c>
      <c r="EE22" s="735"/>
      <c r="EF22" s="735">
        <v>1</v>
      </c>
      <c r="EG22" s="698">
        <v>1</v>
      </c>
      <c r="EH22" s="735"/>
      <c r="EI22" s="735">
        <v>1</v>
      </c>
      <c r="EJ22" s="698">
        <v>1</v>
      </c>
      <c r="EK22" s="735"/>
      <c r="EL22" s="735"/>
      <c r="EM22" s="698"/>
      <c r="EN22" s="727"/>
      <c r="EO22" s="698"/>
      <c r="EP22" s="727">
        <f>D22+F22+J22+N22+R22+V22+Z22+AD22+AI22+AM22+AQ22+AW22+BA22+BB22+BF22+BM22+BR22+BU22+BW22+CM22+DC22+DO22+DQ22+DS22</f>
        <v>16.71282122593898</v>
      </c>
      <c r="EQ22" s="704">
        <f>EQ21+1</f>
        <v>11</v>
      </c>
      <c r="ER22" s="721">
        <f>ER50</f>
        <v>1.6333333333333329</v>
      </c>
      <c r="ES22" s="809" t="s">
        <v>116</v>
      </c>
      <c r="EU22" s="54">
        <v>21.324641060239564</v>
      </c>
      <c r="EV22" s="54">
        <v>14</v>
      </c>
      <c r="EW22" s="54">
        <v>1.552704073700215</v>
      </c>
      <c r="EX22" s="54" t="s">
        <v>117</v>
      </c>
    </row>
    <row r="23" spans="1:154" s="54" customFormat="1" ht="18.75">
      <c r="A23" s="692">
        <f t="shared" si="0"/>
        <v>14</v>
      </c>
      <c r="B23" s="701" t="s">
        <v>118</v>
      </c>
      <c r="C23" s="722">
        <v>0</v>
      </c>
      <c r="D23" s="698">
        <v>1</v>
      </c>
      <c r="E23" s="722">
        <v>0</v>
      </c>
      <c r="F23" s="698">
        <v>1</v>
      </c>
      <c r="G23" s="703">
        <v>4544</v>
      </c>
      <c r="H23" s="703">
        <v>8996.86131</v>
      </c>
      <c r="I23" s="723">
        <f>(G23-H23)/G23*100%</f>
        <v>-0.9799430699823944</v>
      </c>
      <c r="J23" s="696">
        <v>0</v>
      </c>
      <c r="K23" s="797">
        <v>2418.07273</v>
      </c>
      <c r="L23" s="797">
        <v>5098.43024</v>
      </c>
      <c r="M23" s="798">
        <f>K23/L23*100%</f>
        <v>0.4742778887173712</v>
      </c>
      <c r="N23" s="836">
        <v>0.5</v>
      </c>
      <c r="O23" s="797">
        <v>2418.07273</v>
      </c>
      <c r="P23" s="797">
        <v>4389.42096</v>
      </c>
      <c r="Q23" s="798">
        <f>O23/P23*100%</f>
        <v>0.5508864955162559</v>
      </c>
      <c r="R23" s="837">
        <v>1</v>
      </c>
      <c r="S23" s="797">
        <f>K23</f>
        <v>2418.07273</v>
      </c>
      <c r="T23" s="797">
        <v>1817.61154</v>
      </c>
      <c r="U23" s="799">
        <f>S23/T23*100%</f>
        <v>1.3303572720494499</v>
      </c>
      <c r="V23" s="838">
        <f>IF(U23&gt;100%,1,0)</f>
        <v>1</v>
      </c>
      <c r="W23" s="797">
        <v>2008.018</v>
      </c>
      <c r="X23" s="797">
        <v>1925.608</v>
      </c>
      <c r="Y23" s="799">
        <f>X23/W23*100%</f>
        <v>0.9589595312392618</v>
      </c>
      <c r="Z23" s="837">
        <f>IF(0&lt;Y23&gt;100%,1-Y23/100%,0)</f>
        <v>0.04104046876073819</v>
      </c>
      <c r="AA23" s="797">
        <v>1925.608</v>
      </c>
      <c r="AB23" s="797">
        <v>1964.988</v>
      </c>
      <c r="AC23" s="799">
        <f>AA23/AB23*100%</f>
        <v>0.9799591651450288</v>
      </c>
      <c r="AD23" s="839">
        <f>IF(0&lt;AC23&gt;100%,1-AC23/100%,0)</f>
        <v>0.020040834854971212</v>
      </c>
      <c r="AE23" s="797">
        <v>2719.03</v>
      </c>
      <c r="AF23" s="797">
        <v>5098.43024</v>
      </c>
      <c r="AG23" s="797">
        <v>229.94</v>
      </c>
      <c r="AH23" s="798">
        <f>AE23/(AF23-AG23)*100%</f>
        <v>0.5584955224229843</v>
      </c>
      <c r="AI23" s="838">
        <v>0.5</v>
      </c>
      <c r="AJ23" s="801">
        <v>-1090.76416</v>
      </c>
      <c r="AK23" s="801">
        <v>-1769.27485</v>
      </c>
      <c r="AL23" s="801">
        <f>AJ23-AK23</f>
        <v>678.5106900000001</v>
      </c>
      <c r="AM23" s="836">
        <f>IF(AL23&gt;100%,1,0)</f>
        <v>1</v>
      </c>
      <c r="AN23" s="840">
        <f>(915400+1450138.17)/1000</f>
        <v>2365.53817</v>
      </c>
      <c r="AO23" s="737">
        <v>3305</v>
      </c>
      <c r="AP23" s="723">
        <f>AN23*100%/AO23</f>
        <v>0.7157452859304084</v>
      </c>
      <c r="AQ23" s="746">
        <v>1</v>
      </c>
      <c r="AR23" s="748">
        <f>AT23*100/AT48</f>
        <v>2.995899742632795</v>
      </c>
      <c r="AS23" s="725">
        <v>11885.68</v>
      </c>
      <c r="AT23" s="843">
        <f>11281924.33/1000</f>
        <v>11281.92433</v>
      </c>
      <c r="AU23" s="841">
        <v>3989.73488</v>
      </c>
      <c r="AV23" s="723">
        <f>AU23*100%/AS23</f>
        <v>0.3356757779108978</v>
      </c>
      <c r="AW23" s="697">
        <v>1</v>
      </c>
      <c r="AX23" s="842">
        <f>2365538.17/1000</f>
        <v>2365.53817</v>
      </c>
      <c r="AY23" s="727">
        <f>AX23*100/AN23</f>
        <v>100</v>
      </c>
      <c r="AZ23" s="727">
        <f>AX23*100/AU23</f>
        <v>59.290610558062944</v>
      </c>
      <c r="BA23" s="697">
        <v>0</v>
      </c>
      <c r="BB23" s="697">
        <v>1</v>
      </c>
      <c r="BC23" s="795">
        <v>3655</v>
      </c>
      <c r="BD23" s="794">
        <f>AT23*1000/BC23</f>
        <v>3086.709803009576</v>
      </c>
      <c r="BE23" s="723">
        <f>BD23/BD62*100%</f>
        <v>0.8213601357325906</v>
      </c>
      <c r="BF23" s="697">
        <v>0.8</v>
      </c>
      <c r="BG23" s="702">
        <f>BD23*100/BD24</f>
        <v>88.55420212987546</v>
      </c>
      <c r="BH23" s="698">
        <f>BJ23*100/AN23</f>
        <v>55.115603566861914</v>
      </c>
      <c r="BI23" s="732">
        <f>BJ23*100/AT23</f>
        <v>11.556367529722653</v>
      </c>
      <c r="BJ23" s="802">
        <v>1303.78064</v>
      </c>
      <c r="BK23" s="738">
        <f>BJ23*1000/BC23</f>
        <v>356.7115294117647</v>
      </c>
      <c r="BL23" s="755">
        <f>BK23/BK62*100%</f>
        <v>0.9424844890397502</v>
      </c>
      <c r="BM23" s="697">
        <v>0</v>
      </c>
      <c r="BN23" s="738">
        <v>1105.6</v>
      </c>
      <c r="BO23" s="739">
        <v>223</v>
      </c>
      <c r="BP23" s="737">
        <f>BO23/(BN23+BO23)</f>
        <v>0.16784585277735964</v>
      </c>
      <c r="BQ23" s="723"/>
      <c r="BR23" s="698"/>
      <c r="BS23" s="712">
        <f>AT23</f>
        <v>11281.92433</v>
      </c>
      <c r="BT23" s="724">
        <v>1</v>
      </c>
      <c r="BU23" s="731">
        <v>1</v>
      </c>
      <c r="BV23" s="803">
        <v>0</v>
      </c>
      <c r="BW23" s="844">
        <f>1-(BV23/100)</f>
        <v>1</v>
      </c>
      <c r="BX23" s="804">
        <f>1+2</f>
        <v>3</v>
      </c>
      <c r="BY23" s="1022">
        <f>(1-BX23/12)</f>
        <v>0.75</v>
      </c>
      <c r="BZ23" s="805"/>
      <c r="CA23" s="805"/>
      <c r="CB23" s="805">
        <v>0</v>
      </c>
      <c r="CC23" s="805">
        <v>1</v>
      </c>
      <c r="CD23" s="806">
        <v>0</v>
      </c>
      <c r="CE23" s="806">
        <v>1</v>
      </c>
      <c r="CF23" s="806">
        <v>0</v>
      </c>
      <c r="CG23" s="806">
        <f>1-CF23/1</f>
        <v>1</v>
      </c>
      <c r="CH23" s="806">
        <v>0</v>
      </c>
      <c r="CI23" s="806">
        <f>1-CH23/1</f>
        <v>1</v>
      </c>
      <c r="CJ23" s="806">
        <v>0</v>
      </c>
      <c r="CK23" s="806">
        <v>1</v>
      </c>
      <c r="CL23" s="719">
        <f>BX23+CB23+CD23+CF23</f>
        <v>3</v>
      </c>
      <c r="CM23" s="690">
        <f>1-CL23/9</f>
        <v>0.6666666666666667</v>
      </c>
      <c r="CN23" s="738"/>
      <c r="CO23" s="749">
        <f>1-CN23/6</f>
        <v>1</v>
      </c>
      <c r="CP23" s="737"/>
      <c r="CQ23" s="737">
        <f>1-CP23/11</f>
        <v>1</v>
      </c>
      <c r="CR23" s="737"/>
      <c r="CS23" s="702">
        <f>1-CR23/3</f>
        <v>1</v>
      </c>
      <c r="CT23" s="737"/>
      <c r="CU23" s="702">
        <f>1-CT23/2</f>
        <v>1</v>
      </c>
      <c r="CV23" s="737"/>
      <c r="CW23" s="702">
        <f>1-CV23/5</f>
        <v>1</v>
      </c>
      <c r="CX23" s="804">
        <f>2+2</f>
        <v>4</v>
      </c>
      <c r="CY23" s="1022">
        <f>1-CX23/12</f>
        <v>0.6666666666666667</v>
      </c>
      <c r="CZ23" s="733"/>
      <c r="DA23" s="732">
        <f>1-CZ23/7</f>
        <v>1</v>
      </c>
      <c r="DB23" s="734">
        <f>CR23+CT23+CX23+CZ23+CV23</f>
        <v>4</v>
      </c>
      <c r="DC23" s="690">
        <f>1-DB23/14</f>
        <v>0.7142857142857143</v>
      </c>
      <c r="DD23" s="806"/>
      <c r="DE23" s="807"/>
      <c r="DF23" s="806">
        <v>0</v>
      </c>
      <c r="DG23" s="807">
        <f>1-DF23/3</f>
        <v>1</v>
      </c>
      <c r="DH23" s="729"/>
      <c r="DI23" s="698">
        <f>1-DH23/30</f>
        <v>1</v>
      </c>
      <c r="DJ23" s="806"/>
      <c r="DK23" s="806"/>
      <c r="DL23" s="806">
        <v>0</v>
      </c>
      <c r="DM23" s="807">
        <f>1-DL23/14</f>
        <v>1</v>
      </c>
      <c r="DN23" s="691">
        <f>DF23+DL23</f>
        <v>0</v>
      </c>
      <c r="DO23" s="688">
        <f>1-DN23/5</f>
        <v>1</v>
      </c>
      <c r="DP23" s="808">
        <f>21+12</f>
        <v>33</v>
      </c>
      <c r="DQ23" s="844">
        <f>1-DP23/(301+251)*100/100</f>
        <v>0.9402173913043478</v>
      </c>
      <c r="DR23" s="808">
        <v>0</v>
      </c>
      <c r="DS23" s="844">
        <f>1-DR23/(9)*100/100</f>
        <v>1</v>
      </c>
      <c r="DT23" s="735">
        <v>1</v>
      </c>
      <c r="DU23" s="702">
        <v>1</v>
      </c>
      <c r="DV23" s="740"/>
      <c r="DW23" s="735">
        <v>1</v>
      </c>
      <c r="DX23" s="702">
        <v>1</v>
      </c>
      <c r="DY23" s="740"/>
      <c r="DZ23" s="735">
        <v>1</v>
      </c>
      <c r="EA23" s="702">
        <v>1</v>
      </c>
      <c r="EB23" s="740"/>
      <c r="EC23" s="735">
        <v>1</v>
      </c>
      <c r="ED23" s="702">
        <v>1</v>
      </c>
      <c r="EE23" s="740"/>
      <c r="EF23" s="735">
        <v>1</v>
      </c>
      <c r="EG23" s="702">
        <v>1</v>
      </c>
      <c r="EH23" s="740"/>
      <c r="EI23" s="735">
        <v>1</v>
      </c>
      <c r="EJ23" s="702">
        <v>1</v>
      </c>
      <c r="EK23" s="740"/>
      <c r="EL23" s="740"/>
      <c r="EM23" s="702"/>
      <c r="EN23" s="737"/>
      <c r="EO23" s="702"/>
      <c r="EP23" s="727">
        <f>D23+F23+J23+N23+R23+V23+Z23+AD23+AI23+AM23+AQ23+AW23+BA23+BB23+BF23+BM23+BR23+BU23+BW23+CM23+DC23+DO23+DQ23+DS23</f>
        <v>16.182251075872436</v>
      </c>
      <c r="EQ23" s="704">
        <f>EQ22+1</f>
        <v>12</v>
      </c>
      <c r="ER23" s="736">
        <f>ER48</f>
        <v>1.6333333333333329</v>
      </c>
      <c r="ES23" s="809" t="s">
        <v>116</v>
      </c>
      <c r="EU23" s="54">
        <v>21.197252457964836</v>
      </c>
      <c r="EV23" s="54">
        <v>15</v>
      </c>
      <c r="EW23" s="54">
        <v>1.552704073700215</v>
      </c>
      <c r="EX23" s="54" t="s">
        <v>117</v>
      </c>
    </row>
    <row r="24" spans="1:154" s="54" customFormat="1" ht="18.75">
      <c r="A24" s="692">
        <f t="shared" si="0"/>
        <v>15</v>
      </c>
      <c r="B24" s="694" t="s">
        <v>120</v>
      </c>
      <c r="C24" s="704">
        <v>0</v>
      </c>
      <c r="D24" s="690">
        <v>1</v>
      </c>
      <c r="E24" s="704">
        <v>0</v>
      </c>
      <c r="F24" s="690">
        <v>1</v>
      </c>
      <c r="G24" s="705">
        <v>4544</v>
      </c>
      <c r="H24" s="705">
        <v>8996.86131</v>
      </c>
      <c r="I24" s="706">
        <f>(G24-H24)/G24*100%</f>
        <v>-0.9799430699823944</v>
      </c>
      <c r="J24" s="688">
        <v>0</v>
      </c>
      <c r="K24" s="797">
        <v>4816.55656</v>
      </c>
      <c r="L24" s="797">
        <v>6759.02256</v>
      </c>
      <c r="M24" s="798">
        <f>K24/L24*100%</f>
        <v>0.7126114045697163</v>
      </c>
      <c r="N24" s="836">
        <v>1</v>
      </c>
      <c r="O24" s="797">
        <v>4816.55656</v>
      </c>
      <c r="P24" s="797">
        <v>7211.79494</v>
      </c>
      <c r="Q24" s="798">
        <f>O24/P24*100%</f>
        <v>0.6678720901068771</v>
      </c>
      <c r="R24" s="837">
        <v>1</v>
      </c>
      <c r="S24" s="797">
        <f>K24</f>
        <v>4816.55656</v>
      </c>
      <c r="T24" s="797">
        <v>2659.55447</v>
      </c>
      <c r="U24" s="799">
        <f>S24/T24*100%</f>
        <v>1.8110388842684617</v>
      </c>
      <c r="V24" s="838">
        <f>IF(U24&gt;100%,1,0)</f>
        <v>1</v>
      </c>
      <c r="W24" s="797">
        <v>2219.349</v>
      </c>
      <c r="X24" s="797">
        <v>1885.424</v>
      </c>
      <c r="Y24" s="799">
        <f>X24/W24*100%</f>
        <v>0.8495392117237982</v>
      </c>
      <c r="Z24" s="837">
        <f>IF(0&lt;Y24&gt;100%,1-Y24/100%,0)</f>
        <v>0.1504607882762018</v>
      </c>
      <c r="AA24" s="797">
        <v>1885.424</v>
      </c>
      <c r="AB24" s="797">
        <v>3617.252</v>
      </c>
      <c r="AC24" s="799">
        <f>AA24/AB24*100%</f>
        <v>0.5212310339451053</v>
      </c>
      <c r="AD24" s="839">
        <f>IF(0&lt;AC24&gt;100%,1-AC24/100%,0)</f>
        <v>0.4787689660548947</v>
      </c>
      <c r="AE24" s="797">
        <v>1942.466</v>
      </c>
      <c r="AF24" s="797">
        <v>6759.02256</v>
      </c>
      <c r="AG24" s="797">
        <v>258.406</v>
      </c>
      <c r="AH24" s="798">
        <f>AE24/(AF24-AG24)*100%</f>
        <v>0.2988125790948051</v>
      </c>
      <c r="AI24" s="838">
        <v>1</v>
      </c>
      <c r="AJ24" s="801">
        <v>-1978.63262</v>
      </c>
      <c r="AK24" s="801">
        <v>-1144.75532</v>
      </c>
      <c r="AL24" s="801">
        <f>AJ24-AK24</f>
        <v>-833.8773000000001</v>
      </c>
      <c r="AM24" s="836">
        <f>IF(AL24&gt;100%,1,0)</f>
        <v>0</v>
      </c>
      <c r="AN24" s="840">
        <f>(840000+2421600)/1000</f>
        <v>3261.6</v>
      </c>
      <c r="AO24" s="708">
        <v>3770.7</v>
      </c>
      <c r="AP24" s="706">
        <f>AN24*100%/AO24</f>
        <v>0.8649852812475137</v>
      </c>
      <c r="AQ24" s="709">
        <v>1</v>
      </c>
      <c r="AR24" s="710">
        <f>AT24*100/AT50</f>
        <v>4.379087953031227</v>
      </c>
      <c r="AS24" s="711">
        <v>20060.37</v>
      </c>
      <c r="AT24" s="843">
        <f>16490718.37/1000</f>
        <v>16490.71837</v>
      </c>
      <c r="AU24" s="841">
        <v>5165.1</v>
      </c>
      <c r="AV24" s="706">
        <f>AU24*100%/AS24</f>
        <v>0.2574778032508872</v>
      </c>
      <c r="AW24" s="689">
        <v>1</v>
      </c>
      <c r="AX24" s="842">
        <f>3252600/1000</f>
        <v>3252.6</v>
      </c>
      <c r="AY24" s="708">
        <f>AX24*100/AN24</f>
        <v>99.72406181015452</v>
      </c>
      <c r="AZ24" s="708">
        <f>AX24*100/AU24</f>
        <v>62.972643317651155</v>
      </c>
      <c r="BA24" s="689">
        <v>0</v>
      </c>
      <c r="BB24" s="689">
        <v>1</v>
      </c>
      <c r="BC24" s="713">
        <v>4731</v>
      </c>
      <c r="BD24" s="708">
        <f>AT24*1000/BC24</f>
        <v>3485.6728746565204</v>
      </c>
      <c r="BE24" s="706">
        <f>BD24/BD64*100%</f>
        <v>0.9275224845095057</v>
      </c>
      <c r="BF24" s="689">
        <v>0.9</v>
      </c>
      <c r="BG24" s="689">
        <f>BD24*100/BD26</f>
        <v>49.72508195137276</v>
      </c>
      <c r="BH24" s="690">
        <f>BJ24*100/AN24</f>
        <v>57.20566593083149</v>
      </c>
      <c r="BI24" s="690">
        <f>BJ24*100/AT24</f>
        <v>11.31436459065549</v>
      </c>
      <c r="BJ24" s="802">
        <v>1865.82</v>
      </c>
      <c r="BK24" s="708">
        <f>BJ24*1000/BC24</f>
        <v>394.3817374762207</v>
      </c>
      <c r="BL24" s="706">
        <f>BK24/BK64*100%</f>
        <v>1.042014736515062</v>
      </c>
      <c r="BM24" s="689">
        <v>1</v>
      </c>
      <c r="BN24" s="714">
        <v>884.6</v>
      </c>
      <c r="BO24" s="714">
        <v>358.02</v>
      </c>
      <c r="BP24" s="706">
        <f>BO24/(BN24+BO24)</f>
        <v>0.2881170430220019</v>
      </c>
      <c r="BQ24" s="706"/>
      <c r="BR24" s="690"/>
      <c r="BS24" s="712">
        <f>AT24</f>
        <v>16490.71837</v>
      </c>
      <c r="BT24" s="707">
        <f>BS24*100%/AT24</f>
        <v>1</v>
      </c>
      <c r="BU24" s="716">
        <v>1</v>
      </c>
      <c r="BV24" s="803">
        <v>18.020575846266755</v>
      </c>
      <c r="BW24" s="844">
        <f>1-(BV24/100)</f>
        <v>0.8197942415373325</v>
      </c>
      <c r="BX24" s="804">
        <f>1+2</f>
        <v>3</v>
      </c>
      <c r="BY24" s="1022">
        <f>(1-BX24/12)</f>
        <v>0.75</v>
      </c>
      <c r="BZ24" s="805"/>
      <c r="CA24" s="805"/>
      <c r="CB24" s="805">
        <v>0</v>
      </c>
      <c r="CC24" s="805">
        <v>1</v>
      </c>
      <c r="CD24" s="806">
        <v>0</v>
      </c>
      <c r="CE24" s="806">
        <v>1</v>
      </c>
      <c r="CF24" s="806">
        <v>0</v>
      </c>
      <c r="CG24" s="806">
        <f>1-CF24/1</f>
        <v>1</v>
      </c>
      <c r="CH24" s="806">
        <v>0</v>
      </c>
      <c r="CI24" s="806">
        <f>1-CH24/1</f>
        <v>1</v>
      </c>
      <c r="CJ24" s="806">
        <v>0</v>
      </c>
      <c r="CK24" s="806">
        <v>1</v>
      </c>
      <c r="CL24" s="719">
        <f>BX24+CB24+CD24+CF24</f>
        <v>3</v>
      </c>
      <c r="CM24" s="690">
        <f>1-CL24/9</f>
        <v>0.6666666666666667</v>
      </c>
      <c r="CN24" s="714"/>
      <c r="CO24" s="717">
        <f>1-CN24/6</f>
        <v>1</v>
      </c>
      <c r="CP24" s="708"/>
      <c r="CQ24" s="708">
        <f>1-CP24/11</f>
        <v>1</v>
      </c>
      <c r="CR24" s="691"/>
      <c r="CS24" s="690">
        <f>1-CR24/3</f>
        <v>1</v>
      </c>
      <c r="CT24" s="691"/>
      <c r="CU24" s="709">
        <f>1-CT24/2</f>
        <v>1</v>
      </c>
      <c r="CV24" s="704"/>
      <c r="CW24" s="690">
        <f>1-CV24/5</f>
        <v>1</v>
      </c>
      <c r="CX24" s="804">
        <f>2+2</f>
        <v>4</v>
      </c>
      <c r="CY24" s="1022">
        <f>1-CX24/12</f>
        <v>0.6666666666666667</v>
      </c>
      <c r="CZ24" s="718">
        <v>1</v>
      </c>
      <c r="DA24" s="717">
        <f>1-CZ24/7</f>
        <v>0.8571428571428572</v>
      </c>
      <c r="DB24" s="719">
        <f>CR24+CT24+CX24+CZ24+CV24</f>
        <v>5</v>
      </c>
      <c r="DC24" s="690">
        <f>1-DB24/14</f>
        <v>0.6428571428571428</v>
      </c>
      <c r="DD24" s="806"/>
      <c r="DE24" s="807"/>
      <c r="DF24" s="806">
        <v>1</v>
      </c>
      <c r="DG24" s="807">
        <f>1-DF24/3</f>
        <v>0.6666666666666667</v>
      </c>
      <c r="DH24" s="714"/>
      <c r="DI24" s="690">
        <f>1-DH24/30</f>
        <v>1</v>
      </c>
      <c r="DJ24" s="806"/>
      <c r="DK24" s="806"/>
      <c r="DL24" s="806">
        <v>4</v>
      </c>
      <c r="DM24" s="807">
        <f>1-DL24/14</f>
        <v>0.7142857142857143</v>
      </c>
      <c r="DN24" s="691">
        <f>DF24+DL24</f>
        <v>5</v>
      </c>
      <c r="DO24" s="688">
        <f>1-DN24/5</f>
        <v>0</v>
      </c>
      <c r="DP24" s="808">
        <f>46+85</f>
        <v>131</v>
      </c>
      <c r="DQ24" s="844">
        <f>1-DP24/(478+425)*100/100</f>
        <v>0.8549280177187154</v>
      </c>
      <c r="DR24" s="808">
        <v>3</v>
      </c>
      <c r="DS24" s="844">
        <f>1-DR24/(9)*100/100</f>
        <v>0.6666666666666667</v>
      </c>
      <c r="DT24" s="720">
        <v>1</v>
      </c>
      <c r="DU24" s="690">
        <v>1</v>
      </c>
      <c r="DV24" s="720"/>
      <c r="DW24" s="720">
        <v>1</v>
      </c>
      <c r="DX24" s="690">
        <v>1</v>
      </c>
      <c r="DY24" s="720"/>
      <c r="DZ24" s="720">
        <v>1</v>
      </c>
      <c r="EA24" s="690">
        <v>1</v>
      </c>
      <c r="EB24" s="720"/>
      <c r="EC24" s="720">
        <v>1</v>
      </c>
      <c r="ED24" s="690">
        <v>1</v>
      </c>
      <c r="EE24" s="720"/>
      <c r="EF24" s="720">
        <v>1</v>
      </c>
      <c r="EG24" s="690">
        <v>1</v>
      </c>
      <c r="EH24" s="720"/>
      <c r="EI24" s="720">
        <v>1</v>
      </c>
      <c r="EJ24" s="690">
        <v>1</v>
      </c>
      <c r="EK24" s="720"/>
      <c r="EL24" s="720"/>
      <c r="EM24" s="690"/>
      <c r="EN24" s="708"/>
      <c r="EO24" s="690"/>
      <c r="EP24" s="708">
        <f>D24+F24+J24+N24+R24+V24+Z24+AD24+AI24+AM24+AQ24+AW24+BA24+BB24+BF24+BM24+BR24+BU24+BW24+CM24+DC24+DO24+DQ24+DS24</f>
        <v>16.18014248977762</v>
      </c>
      <c r="EQ24" s="704">
        <f>EQ23+1</f>
        <v>13</v>
      </c>
      <c r="ER24" s="736">
        <f>ER50</f>
        <v>1.6333333333333329</v>
      </c>
      <c r="ES24" s="708" t="s">
        <v>117</v>
      </c>
      <c r="EU24" s="54">
        <v>20.727964560599766</v>
      </c>
      <c r="EV24" s="54">
        <v>16</v>
      </c>
      <c r="EW24" s="54">
        <v>1.552704073700215</v>
      </c>
      <c r="EX24" s="54" t="s">
        <v>117</v>
      </c>
    </row>
    <row r="25" spans="1:154" s="54" customFormat="1" ht="18.75">
      <c r="A25" s="692">
        <f>A28+1</f>
        <v>19</v>
      </c>
      <c r="B25" s="695" t="s">
        <v>134</v>
      </c>
      <c r="C25" s="722">
        <v>0</v>
      </c>
      <c r="D25" s="698">
        <v>1</v>
      </c>
      <c r="E25" s="722">
        <v>0</v>
      </c>
      <c r="F25" s="698">
        <v>1</v>
      </c>
      <c r="G25" s="703">
        <v>3046.5816</v>
      </c>
      <c r="H25" s="703">
        <v>4064.37919</v>
      </c>
      <c r="I25" s="723">
        <f>(G25-H25)/G25*100%</f>
        <v>-0.3340785587361258</v>
      </c>
      <c r="J25" s="696">
        <v>0</v>
      </c>
      <c r="K25" s="797">
        <v>1622.11189</v>
      </c>
      <c r="L25" s="797">
        <v>3997.76814</v>
      </c>
      <c r="M25" s="798">
        <f>K25/L25*100%</f>
        <v>0.40575436923663105</v>
      </c>
      <c r="N25" s="836">
        <v>0.5</v>
      </c>
      <c r="O25" s="797">
        <v>1622.11189</v>
      </c>
      <c r="P25" s="797">
        <v>4951.89114</v>
      </c>
      <c r="Q25" s="798">
        <f>O25/P25*100%</f>
        <v>0.32757422248179713</v>
      </c>
      <c r="R25" s="837">
        <f>IF(0%&lt;Q25&gt;45%,Q25/45%,1)</f>
        <v>0.7279427166262158</v>
      </c>
      <c r="S25" s="797">
        <f>K25</f>
        <v>1622.11189</v>
      </c>
      <c r="T25" s="797">
        <v>1131.16677</v>
      </c>
      <c r="U25" s="799">
        <f>S25/T25*100%</f>
        <v>1.4340165685737036</v>
      </c>
      <c r="V25" s="838">
        <f>IF(U25&gt;100%,1,0)</f>
        <v>1</v>
      </c>
      <c r="W25" s="797">
        <v>723.019</v>
      </c>
      <c r="X25" s="797">
        <v>543.895</v>
      </c>
      <c r="Y25" s="800">
        <f>X25/W25*100%</f>
        <v>0.752255473230994</v>
      </c>
      <c r="Z25" s="837">
        <f>IF(0&lt;Y25&gt;100%,1-Y25/100%,0)</f>
        <v>0.24774452676900605</v>
      </c>
      <c r="AA25" s="797">
        <v>543.895</v>
      </c>
      <c r="AB25" s="797">
        <v>1265.491</v>
      </c>
      <c r="AC25" s="799">
        <f>AA25/AB25*100%</f>
        <v>0.4297897021788381</v>
      </c>
      <c r="AD25" s="839">
        <f>IF(0&lt;AC25&gt;100%,1-AC25/100%,0)</f>
        <v>0.5702102978211618</v>
      </c>
      <c r="AE25" s="797">
        <v>2366.88125</v>
      </c>
      <c r="AF25" s="797">
        <v>3997.76814</v>
      </c>
      <c r="AG25" s="797">
        <v>179.142</v>
      </c>
      <c r="AH25" s="798">
        <f>AE25/(AF25-AG25)*100%</f>
        <v>0.619825341163144</v>
      </c>
      <c r="AI25" s="838">
        <v>0.5</v>
      </c>
      <c r="AJ25" s="801">
        <v>-158.85339</v>
      </c>
      <c r="AK25" s="801">
        <v>-453.56624</v>
      </c>
      <c r="AL25" s="801">
        <f>AJ25-AK25</f>
        <v>294.71285</v>
      </c>
      <c r="AM25" s="836">
        <f>IF(AL25&gt;100%,1,0)</f>
        <v>1</v>
      </c>
      <c r="AN25" s="840">
        <f>(850000+1794635.42)/1000</f>
        <v>2644.63542</v>
      </c>
      <c r="AO25" s="727">
        <v>3034.6</v>
      </c>
      <c r="AP25" s="723">
        <f>AN25*100%/AO25</f>
        <v>0.8714939102352864</v>
      </c>
      <c r="AQ25" s="746">
        <v>1</v>
      </c>
      <c r="AR25" s="747">
        <f>AT25*100/AT50</f>
        <v>2.826692744834025</v>
      </c>
      <c r="AS25" s="725">
        <v>12653.05</v>
      </c>
      <c r="AT25" s="843">
        <f>10644726.59/1000</f>
        <v>10644.72659</v>
      </c>
      <c r="AU25" s="841">
        <v>4545.29968</v>
      </c>
      <c r="AV25" s="723">
        <f>AU25*100%/AS25</f>
        <v>0.35922561595820773</v>
      </c>
      <c r="AW25" s="697">
        <v>1</v>
      </c>
      <c r="AX25" s="842">
        <f>2574988.64/1000</f>
        <v>2574.98864</v>
      </c>
      <c r="AY25" s="727">
        <f>AX25*100/AN25</f>
        <v>97.36648842130383</v>
      </c>
      <c r="AZ25" s="727">
        <f>AX25*100/AU25</f>
        <v>56.651680225405954</v>
      </c>
      <c r="BA25" s="697">
        <v>0</v>
      </c>
      <c r="BB25" s="697">
        <v>1</v>
      </c>
      <c r="BC25" s="728">
        <v>2902</v>
      </c>
      <c r="BD25" s="727">
        <f>AS25*1000/BC25</f>
        <v>4360.113714679532</v>
      </c>
      <c r="BE25" s="723">
        <f>BD25/BD64*100%</f>
        <v>1.1602074121146657</v>
      </c>
      <c r="BF25" s="697">
        <v>1</v>
      </c>
      <c r="BG25" s="697">
        <f>BD25*100/BD33</f>
        <v>138.44133911891404</v>
      </c>
      <c r="BH25" s="698">
        <f>BJ25*100/AN25</f>
        <v>0</v>
      </c>
      <c r="BI25" s="698">
        <f>BJ25*100/AT25</f>
        <v>0</v>
      </c>
      <c r="BJ25" s="802">
        <v>0</v>
      </c>
      <c r="BK25" s="727">
        <f>BJ25*1000/BC25</f>
        <v>0</v>
      </c>
      <c r="BL25" s="723">
        <f>BK25/BK64*100%</f>
        <v>0</v>
      </c>
      <c r="BM25" s="697">
        <v>0</v>
      </c>
      <c r="BN25" s="729">
        <v>1675</v>
      </c>
      <c r="BO25" s="730">
        <v>146.59</v>
      </c>
      <c r="BP25" s="723">
        <f>BO25/(BN25+BO25)</f>
        <v>0.08047365213906532</v>
      </c>
      <c r="BQ25" s="723"/>
      <c r="BR25" s="698"/>
      <c r="BS25" s="712">
        <f>AT25</f>
        <v>10644.72659</v>
      </c>
      <c r="BT25" s="724">
        <f>BS25*100%/AT25</f>
        <v>1</v>
      </c>
      <c r="BU25" s="731">
        <v>1</v>
      </c>
      <c r="BV25" s="803">
        <v>27.616602389887184</v>
      </c>
      <c r="BW25" s="844">
        <f>1-(BV25/100)</f>
        <v>0.7238339761011281</v>
      </c>
      <c r="BX25" s="804">
        <f>2+1</f>
        <v>3</v>
      </c>
      <c r="BY25" s="1022">
        <f>(1-BX25/12)</f>
        <v>0.75</v>
      </c>
      <c r="BZ25" s="805"/>
      <c r="CA25" s="805"/>
      <c r="CB25" s="805">
        <v>0</v>
      </c>
      <c r="CC25" s="805">
        <v>1</v>
      </c>
      <c r="CD25" s="806">
        <v>1</v>
      </c>
      <c r="CE25" s="806">
        <v>0</v>
      </c>
      <c r="CF25" s="806">
        <v>0</v>
      </c>
      <c r="CG25" s="806">
        <f>1-CF25/1</f>
        <v>1</v>
      </c>
      <c r="CH25" s="806">
        <v>0</v>
      </c>
      <c r="CI25" s="806">
        <f>1-CH25/1</f>
        <v>1</v>
      </c>
      <c r="CJ25" s="806">
        <v>1</v>
      </c>
      <c r="CK25" s="806">
        <v>0</v>
      </c>
      <c r="CL25" s="719">
        <f>BX25+CB25+CD25+CF25</f>
        <v>4</v>
      </c>
      <c r="CM25" s="690">
        <f>1-CL25/9</f>
        <v>0.5555555555555556</v>
      </c>
      <c r="CN25" s="729"/>
      <c r="CO25" s="732">
        <f>1-CN25/6</f>
        <v>1</v>
      </c>
      <c r="CP25" s="727"/>
      <c r="CQ25" s="727">
        <f>1-CP25/11</f>
        <v>1</v>
      </c>
      <c r="CR25" s="699"/>
      <c r="CS25" s="698">
        <f>1-CR25/3</f>
        <v>1</v>
      </c>
      <c r="CT25" s="699"/>
      <c r="CU25" s="746">
        <f>1-CT25/2</f>
        <v>1</v>
      </c>
      <c r="CV25" s="722"/>
      <c r="CW25" s="698">
        <f>1-CV25/5</f>
        <v>1</v>
      </c>
      <c r="CX25" s="804">
        <f>1+1</f>
        <v>2</v>
      </c>
      <c r="CY25" s="1022">
        <f>1-CX25/12</f>
        <v>0.8333333333333334</v>
      </c>
      <c r="CZ25" s="733"/>
      <c r="DA25" s="732">
        <f>1-CZ25/7</f>
        <v>1</v>
      </c>
      <c r="DB25" s="719">
        <f>CX25+CZ25</f>
        <v>2</v>
      </c>
      <c r="DC25" s="690">
        <f>1-DB25/14</f>
        <v>0.8571428571428572</v>
      </c>
      <c r="DD25" s="806"/>
      <c r="DE25" s="807"/>
      <c r="DF25" s="806">
        <v>1</v>
      </c>
      <c r="DG25" s="807">
        <f>1-DF25/3</f>
        <v>0.6666666666666667</v>
      </c>
      <c r="DH25" s="729"/>
      <c r="DI25" s="698">
        <f>1-DH25/30</f>
        <v>1</v>
      </c>
      <c r="DJ25" s="806"/>
      <c r="DK25" s="806"/>
      <c r="DL25" s="806">
        <v>0</v>
      </c>
      <c r="DM25" s="807">
        <f>1-DL25/14</f>
        <v>1</v>
      </c>
      <c r="DN25" s="691">
        <f>DF25+DL25</f>
        <v>1</v>
      </c>
      <c r="DO25" s="688">
        <f>1-DN25/5</f>
        <v>0.8</v>
      </c>
      <c r="DP25" s="808">
        <f>38+22</f>
        <v>60</v>
      </c>
      <c r="DQ25" s="844">
        <f>1-DP25/(189+225)*100/100</f>
        <v>0.855072463768116</v>
      </c>
      <c r="DR25" s="808">
        <v>2</v>
      </c>
      <c r="DS25" s="844">
        <f>1-DR25/(9)*100/100</f>
        <v>0.7777777777777778</v>
      </c>
      <c r="DT25" s="735">
        <v>1</v>
      </c>
      <c r="DU25" s="698">
        <v>1</v>
      </c>
      <c r="DV25" s="735"/>
      <c r="DW25" s="735">
        <v>0</v>
      </c>
      <c r="DX25" s="698">
        <v>0</v>
      </c>
      <c r="DY25" s="735"/>
      <c r="DZ25" s="735">
        <v>0</v>
      </c>
      <c r="EA25" s="698">
        <v>0</v>
      </c>
      <c r="EB25" s="735"/>
      <c r="EC25" s="735">
        <v>1</v>
      </c>
      <c r="ED25" s="698">
        <v>1</v>
      </c>
      <c r="EE25" s="735"/>
      <c r="EF25" s="735">
        <v>1</v>
      </c>
      <c r="EG25" s="698">
        <v>1</v>
      </c>
      <c r="EH25" s="735"/>
      <c r="EI25" s="735">
        <v>1</v>
      </c>
      <c r="EJ25" s="698">
        <v>1</v>
      </c>
      <c r="EK25" s="735"/>
      <c r="EL25" s="735"/>
      <c r="EM25" s="698"/>
      <c r="EN25" s="727"/>
      <c r="EO25" s="698"/>
      <c r="EP25" s="727">
        <f>D25+F25+J25+N25+R25+V25+Z25+AD25+AI25+AM25+AQ25+AW25+BA25+BB25+BF25+BM25+BR25+BU25+BW25+CM25+DC25+DO25+DQ25+DS25</f>
        <v>16.115280171561817</v>
      </c>
      <c r="EQ25" s="704">
        <f>EQ24+1</f>
        <v>14</v>
      </c>
      <c r="ER25" s="721">
        <f>ER52</f>
        <v>1.6333333333333329</v>
      </c>
      <c r="ES25" s="809" t="s">
        <v>116</v>
      </c>
      <c r="EU25" s="54">
        <v>20.75320703499068</v>
      </c>
      <c r="EV25" s="54">
        <v>22</v>
      </c>
      <c r="EW25" s="54">
        <v>1.552704073700215</v>
      </c>
      <c r="EX25" s="54" t="s">
        <v>116</v>
      </c>
    </row>
    <row r="26" spans="1:154" s="322" customFormat="1" ht="18.75">
      <c r="A26" s="692">
        <f>A24+1</f>
        <v>16</v>
      </c>
      <c r="B26" s="694" t="s">
        <v>136</v>
      </c>
      <c r="C26" s="704">
        <v>0</v>
      </c>
      <c r="D26" s="690">
        <v>1</v>
      </c>
      <c r="E26" s="704">
        <v>0</v>
      </c>
      <c r="F26" s="690">
        <v>1</v>
      </c>
      <c r="G26" s="705">
        <v>6835</v>
      </c>
      <c r="H26" s="705">
        <v>9894.43062</v>
      </c>
      <c r="I26" s="706">
        <f>(G26-H26)/G26*100%</f>
        <v>-0.4476123803950255</v>
      </c>
      <c r="J26" s="688">
        <v>0</v>
      </c>
      <c r="K26" s="797">
        <v>6832.06808</v>
      </c>
      <c r="L26" s="797">
        <v>9316.42185</v>
      </c>
      <c r="M26" s="798">
        <f>K26/L26*100%</f>
        <v>0.7333360586285602</v>
      </c>
      <c r="N26" s="836">
        <v>1</v>
      </c>
      <c r="O26" s="797">
        <v>6832.06808</v>
      </c>
      <c r="P26" s="797">
        <v>8862.32216</v>
      </c>
      <c r="Q26" s="798">
        <f>O26/P26*100%</f>
        <v>0.7709117268199152</v>
      </c>
      <c r="R26" s="837">
        <v>1</v>
      </c>
      <c r="S26" s="797">
        <f>K26</f>
        <v>6832.06808</v>
      </c>
      <c r="T26" s="797">
        <v>2620.16811</v>
      </c>
      <c r="U26" s="799">
        <f>S26/T26*100%</f>
        <v>2.6074922650669157</v>
      </c>
      <c r="V26" s="838">
        <f>IF(U26&gt;100%,1,0)</f>
        <v>1</v>
      </c>
      <c r="W26" s="797">
        <v>1785.32</v>
      </c>
      <c r="X26" s="797">
        <v>2330.972</v>
      </c>
      <c r="Y26" s="800">
        <f>X26/W26*100%</f>
        <v>1.3056326036788926</v>
      </c>
      <c r="Z26" s="837">
        <v>0</v>
      </c>
      <c r="AA26" s="797">
        <v>2330.972</v>
      </c>
      <c r="AB26" s="797">
        <v>3682.075</v>
      </c>
      <c r="AC26" s="799">
        <f>AA26/AB26*100%</f>
        <v>0.6330593483294067</v>
      </c>
      <c r="AD26" s="839">
        <f>IF(0&lt;AC26&gt;100%,1-AC26/100%,0)</f>
        <v>0.3669406516705933</v>
      </c>
      <c r="AE26" s="797">
        <v>2464.007</v>
      </c>
      <c r="AF26" s="797">
        <v>9316.42185</v>
      </c>
      <c r="AG26" s="797">
        <v>200.737</v>
      </c>
      <c r="AH26" s="798">
        <f>AE26/(AF26-AG26)*100%</f>
        <v>0.2703041011778725</v>
      </c>
      <c r="AI26" s="838">
        <v>1</v>
      </c>
      <c r="AJ26" s="801">
        <v>-585.3636</v>
      </c>
      <c r="AK26" s="801">
        <v>-118.0113</v>
      </c>
      <c r="AL26" s="801">
        <f>AJ26-AK26</f>
        <v>-467.3523</v>
      </c>
      <c r="AM26" s="836">
        <f>IF(AL26&gt;100%,1,0)</f>
        <v>0</v>
      </c>
      <c r="AN26" s="840">
        <f>(620000+2165257.95)/1000</f>
        <v>2785.25795</v>
      </c>
      <c r="AO26" s="708">
        <v>3300.2</v>
      </c>
      <c r="AP26" s="706">
        <f>AN26*100%/AO26</f>
        <v>0.8439664111265985</v>
      </c>
      <c r="AQ26" s="709">
        <v>1</v>
      </c>
      <c r="AR26" s="710">
        <f>AT26*100/AT53</f>
        <v>4.092920127966328</v>
      </c>
      <c r="AS26" s="711">
        <v>25810.41</v>
      </c>
      <c r="AT26" s="843">
        <f>15413070.91/1000</f>
        <v>15413.07091</v>
      </c>
      <c r="AU26" s="841">
        <v>5001.49495</v>
      </c>
      <c r="AV26" s="706">
        <f>AU26*100%/AS26</f>
        <v>0.19377820615790298</v>
      </c>
      <c r="AW26" s="689">
        <v>1</v>
      </c>
      <c r="AX26" s="842">
        <f>2720757.95/1000</f>
        <v>2720.75795</v>
      </c>
      <c r="AY26" s="708">
        <f>AX26*100/AN26</f>
        <v>97.68423603278828</v>
      </c>
      <c r="AZ26" s="708">
        <f>AX26*100/AU26</f>
        <v>54.39889427460084</v>
      </c>
      <c r="BA26" s="689">
        <v>0</v>
      </c>
      <c r="BB26" s="689">
        <v>1</v>
      </c>
      <c r="BC26" s="713">
        <v>3682</v>
      </c>
      <c r="BD26" s="708">
        <f>AS26*1000/BC26</f>
        <v>7009.8886474741985</v>
      </c>
      <c r="BE26" s="706">
        <f>BD26/BD67*100%</f>
        <v>1.8653010676112112</v>
      </c>
      <c r="BF26" s="689">
        <v>1</v>
      </c>
      <c r="BG26" s="689">
        <f>BD26*100/BD56</f>
        <v>186.53010676112112</v>
      </c>
      <c r="BH26" s="690">
        <f>BJ26*100/AN26</f>
        <v>21.33507024008315</v>
      </c>
      <c r="BI26" s="690">
        <f>BJ26*100/AT26</f>
        <v>3.8554078124331426</v>
      </c>
      <c r="BJ26" s="802">
        <v>594.23674</v>
      </c>
      <c r="BK26" s="708">
        <f>BJ26*1000/BC26</f>
        <v>161.38966322650737</v>
      </c>
      <c r="BL26" s="706">
        <f>BK26/BK67*100%</f>
        <v>0.4264153012748556</v>
      </c>
      <c r="BM26" s="689">
        <v>0</v>
      </c>
      <c r="BN26" s="714">
        <v>1404.4</v>
      </c>
      <c r="BO26" s="715">
        <v>529.48</v>
      </c>
      <c r="BP26" s="706">
        <f>BO26/(BN26+BO26)</f>
        <v>0.2737915485966037</v>
      </c>
      <c r="BQ26" s="706"/>
      <c r="BR26" s="690"/>
      <c r="BS26" s="712">
        <f>AT26</f>
        <v>15413.07091</v>
      </c>
      <c r="BT26" s="707">
        <f>BS26*100%/AT26</f>
        <v>1</v>
      </c>
      <c r="BU26" s="716">
        <v>1</v>
      </c>
      <c r="BV26" s="803">
        <v>0</v>
      </c>
      <c r="BW26" s="844">
        <f>1-(BV26/100)</f>
        <v>1</v>
      </c>
      <c r="BX26" s="804">
        <f>2+2</f>
        <v>4</v>
      </c>
      <c r="BY26" s="1022">
        <f>(1-BX26/12)</f>
        <v>0.6666666666666667</v>
      </c>
      <c r="BZ26" s="805"/>
      <c r="CA26" s="805"/>
      <c r="CB26" s="805">
        <v>1</v>
      </c>
      <c r="CC26" s="805">
        <v>0</v>
      </c>
      <c r="CD26" s="806">
        <v>0</v>
      </c>
      <c r="CE26" s="806">
        <v>1</v>
      </c>
      <c r="CF26" s="806">
        <v>0</v>
      </c>
      <c r="CG26" s="806">
        <f>1-CF26/1</f>
        <v>1</v>
      </c>
      <c r="CH26" s="806">
        <v>0</v>
      </c>
      <c r="CI26" s="806">
        <f>1-CH26/1</f>
        <v>1</v>
      </c>
      <c r="CJ26" s="806">
        <v>1</v>
      </c>
      <c r="CK26" s="806">
        <v>0</v>
      </c>
      <c r="CL26" s="719">
        <f>BX26+CB26+CD26+CF26</f>
        <v>5</v>
      </c>
      <c r="CM26" s="690">
        <f>1-CL26/9</f>
        <v>0.4444444444444444</v>
      </c>
      <c r="CN26" s="714"/>
      <c r="CO26" s="717">
        <f>1-CN26/6</f>
        <v>1</v>
      </c>
      <c r="CP26" s="708"/>
      <c r="CQ26" s="708">
        <f>1-CP26/11</f>
        <v>1</v>
      </c>
      <c r="CR26" s="691"/>
      <c r="CS26" s="690">
        <f>1-CR26/3</f>
        <v>1</v>
      </c>
      <c r="CT26" s="691"/>
      <c r="CU26" s="709">
        <f>1-CT26/2</f>
        <v>1</v>
      </c>
      <c r="CV26" s="704"/>
      <c r="CW26" s="690">
        <f>1-CV26/5</f>
        <v>1</v>
      </c>
      <c r="CX26" s="804">
        <f>3+2</f>
        <v>5</v>
      </c>
      <c r="CY26" s="1022">
        <f>1-CX26/12</f>
        <v>0.5833333333333333</v>
      </c>
      <c r="CZ26" s="718"/>
      <c r="DA26" s="717">
        <f>1-CZ26/7</f>
        <v>1</v>
      </c>
      <c r="DB26" s="719">
        <f>CX26+CZ26</f>
        <v>5</v>
      </c>
      <c r="DC26" s="690">
        <f>1-DB26/14</f>
        <v>0.6428571428571428</v>
      </c>
      <c r="DD26" s="806"/>
      <c r="DE26" s="807"/>
      <c r="DF26" s="806">
        <v>1</v>
      </c>
      <c r="DG26" s="807">
        <f>1-DF26/3</f>
        <v>0.6666666666666667</v>
      </c>
      <c r="DH26" s="714"/>
      <c r="DI26" s="690">
        <f>1-DH26/30</f>
        <v>1</v>
      </c>
      <c r="DJ26" s="806"/>
      <c r="DK26" s="806"/>
      <c r="DL26" s="806">
        <v>0</v>
      </c>
      <c r="DM26" s="807">
        <f>1-DL26/14</f>
        <v>1</v>
      </c>
      <c r="DN26" s="691">
        <f>DF26+DL26</f>
        <v>1</v>
      </c>
      <c r="DO26" s="688">
        <f>1-DN26/5</f>
        <v>0.8</v>
      </c>
      <c r="DP26" s="808">
        <f>32+38</f>
        <v>70</v>
      </c>
      <c r="DQ26" s="844">
        <f>1-DP26/(458+385)*100/100</f>
        <v>0.9169632265717675</v>
      </c>
      <c r="DR26" s="808">
        <v>1</v>
      </c>
      <c r="DS26" s="844">
        <f>1-DR26/(9)*100/100</f>
        <v>0.8888888888888888</v>
      </c>
      <c r="DT26" s="720">
        <v>1</v>
      </c>
      <c r="DU26" s="690">
        <v>1</v>
      </c>
      <c r="DV26" s="720"/>
      <c r="DW26" s="720">
        <v>0</v>
      </c>
      <c r="DX26" s="690">
        <v>0</v>
      </c>
      <c r="DY26" s="720"/>
      <c r="DZ26" s="720">
        <v>0</v>
      </c>
      <c r="EA26" s="690">
        <v>0</v>
      </c>
      <c r="EB26" s="720"/>
      <c r="EC26" s="720">
        <v>1</v>
      </c>
      <c r="ED26" s="690">
        <v>1</v>
      </c>
      <c r="EE26" s="720"/>
      <c r="EF26" s="720">
        <v>1</v>
      </c>
      <c r="EG26" s="690">
        <v>1</v>
      </c>
      <c r="EH26" s="720"/>
      <c r="EI26" s="720">
        <v>1</v>
      </c>
      <c r="EJ26" s="690">
        <v>1</v>
      </c>
      <c r="EK26" s="720"/>
      <c r="EL26" s="720"/>
      <c r="EM26" s="690"/>
      <c r="EN26" s="708"/>
      <c r="EO26" s="690"/>
      <c r="EP26" s="708">
        <f>D26+F26+J26+N26+R26+V26+Z26+AD26+AI26+AM26+AQ26+AW26+BA26+BB26+BF26+BM26+BR26+BU26+BW26+CM26+DC26+DO26+DQ26+DS26</f>
        <v>16.060094354432838</v>
      </c>
      <c r="EQ26" s="704">
        <f>EQ25+1</f>
        <v>15</v>
      </c>
      <c r="ER26" s="721">
        <f>ER54</f>
        <v>1.6333333333333329</v>
      </c>
      <c r="ES26" s="708" t="s">
        <v>117</v>
      </c>
      <c r="EU26" s="322">
        <v>21.545696582639835</v>
      </c>
      <c r="EV26" s="322">
        <v>13</v>
      </c>
      <c r="EW26" s="322">
        <v>1.552704073700215</v>
      </c>
      <c r="EX26" s="322" t="s">
        <v>117</v>
      </c>
    </row>
    <row r="27" spans="1:154" s="322" customFormat="1" ht="18.75">
      <c r="A27" s="692">
        <f>A26+1</f>
        <v>17</v>
      </c>
      <c r="B27" s="694" t="s">
        <v>139</v>
      </c>
      <c r="C27" s="704">
        <v>0</v>
      </c>
      <c r="D27" s="690">
        <v>1</v>
      </c>
      <c r="E27" s="704">
        <v>0</v>
      </c>
      <c r="F27" s="690">
        <v>1</v>
      </c>
      <c r="G27" s="705">
        <v>6098.9</v>
      </c>
      <c r="H27" s="705">
        <v>7114.17526</v>
      </c>
      <c r="I27" s="706">
        <f>(G27-H27)/G27*100%</f>
        <v>-0.16646858613848406</v>
      </c>
      <c r="J27" s="688">
        <v>0.2</v>
      </c>
      <c r="K27" s="797">
        <v>3283.50831</v>
      </c>
      <c r="L27" s="797">
        <v>5968.73431</v>
      </c>
      <c r="M27" s="798">
        <f>K27/L27*100%</f>
        <v>0.5501180215877293</v>
      </c>
      <c r="N27" s="836">
        <v>0.8</v>
      </c>
      <c r="O27" s="797">
        <v>3283.50831</v>
      </c>
      <c r="P27" s="797">
        <v>8780.4446</v>
      </c>
      <c r="Q27" s="798">
        <f>O27/P27*100%</f>
        <v>0.3739569531592967</v>
      </c>
      <c r="R27" s="837">
        <f>IF(0%&lt;Q27&gt;45%,Q27/45%,1)</f>
        <v>0.8310154514651038</v>
      </c>
      <c r="S27" s="797">
        <f>K27</f>
        <v>3283.50831</v>
      </c>
      <c r="T27" s="797">
        <v>2178.33851</v>
      </c>
      <c r="U27" s="799">
        <f>S27/T27*100%</f>
        <v>1.507345297770088</v>
      </c>
      <c r="V27" s="838">
        <f>IF(U27&gt;100%,1,0)</f>
        <v>1</v>
      </c>
      <c r="W27" s="797">
        <v>1559.871</v>
      </c>
      <c r="X27" s="797">
        <v>1233.885</v>
      </c>
      <c r="Y27" s="800">
        <f>X27/W27*100%</f>
        <v>0.7910173341257065</v>
      </c>
      <c r="Z27" s="837">
        <f>IF(0&lt;Y27&gt;100%,1-Y27/100%,0)</f>
        <v>0.20898266587429348</v>
      </c>
      <c r="AA27" s="797">
        <v>1233.885</v>
      </c>
      <c r="AB27" s="797">
        <v>2296.496</v>
      </c>
      <c r="AC27" s="799">
        <f>AA27/AB27*100%</f>
        <v>0.5372902892058161</v>
      </c>
      <c r="AD27" s="839">
        <f>IF(0&lt;AC27&gt;100%,1-AC27/100%,0)</f>
        <v>0.4627097107941839</v>
      </c>
      <c r="AE27" s="797">
        <v>2685.226</v>
      </c>
      <c r="AF27" s="797">
        <v>5968.73431</v>
      </c>
      <c r="AG27" s="797">
        <v>322.456</v>
      </c>
      <c r="AH27" s="798">
        <f>AE27/(AF27-AG27)*100%</f>
        <v>0.47557450280909025</v>
      </c>
      <c r="AI27" s="838">
        <v>0.8</v>
      </c>
      <c r="AJ27" s="801">
        <v>-1643.04571</v>
      </c>
      <c r="AK27" s="801">
        <v>-521.73629</v>
      </c>
      <c r="AL27" s="801">
        <f>AJ27-AK27</f>
        <v>-1121.30942</v>
      </c>
      <c r="AM27" s="836">
        <f>IF(AL27&gt;100%,1,0)</f>
        <v>0</v>
      </c>
      <c r="AN27" s="840">
        <f>(614492+2107877.68)/1000</f>
        <v>2722.3696800000002</v>
      </c>
      <c r="AO27" s="708">
        <v>3684.1</v>
      </c>
      <c r="AP27" s="706">
        <f>AN27*100%/AO27</f>
        <v>0.7389510816753075</v>
      </c>
      <c r="AQ27" s="709">
        <v>1</v>
      </c>
      <c r="AR27" s="710">
        <f>AT27*100/AT53</f>
        <v>4.133092505218774</v>
      </c>
      <c r="AS27" s="711">
        <v>15651.35</v>
      </c>
      <c r="AT27" s="843">
        <f>15564351.58/1000</f>
        <v>15564.35158</v>
      </c>
      <c r="AU27" s="841">
        <v>5573.54269</v>
      </c>
      <c r="AV27" s="706">
        <f>AU27*100%/AS27</f>
        <v>0.35610619467330296</v>
      </c>
      <c r="AW27" s="689">
        <v>1</v>
      </c>
      <c r="AX27" s="842">
        <f>2608683.73/1000</f>
        <v>2608.68373</v>
      </c>
      <c r="AY27" s="708">
        <f>AX27*100/AN27</f>
        <v>95.82400763440768</v>
      </c>
      <c r="AZ27" s="708">
        <f>AX27*100/AU27</f>
        <v>46.80476808189658</v>
      </c>
      <c r="BA27" s="689">
        <v>0</v>
      </c>
      <c r="BB27" s="689">
        <v>1</v>
      </c>
      <c r="BC27" s="713">
        <v>6211</v>
      </c>
      <c r="BD27" s="708">
        <f>AS27*1000/BC27</f>
        <v>2519.94042827242</v>
      </c>
      <c r="BE27" s="706">
        <f>BD27/BD67*100%</f>
        <v>0.670545255075751</v>
      </c>
      <c r="BF27" s="689">
        <v>0.7</v>
      </c>
      <c r="BG27" s="689">
        <f>BD27*100/BD65</f>
        <v>67.05452550757511</v>
      </c>
      <c r="BH27" s="690">
        <f>BJ27*100/AN27</f>
        <v>64.42787593784838</v>
      </c>
      <c r="BI27" s="690">
        <f>BJ27*100/AT27</f>
        <v>11.269116808269889</v>
      </c>
      <c r="BJ27" s="802">
        <v>1753.9649600000002</v>
      </c>
      <c r="BK27" s="708">
        <f>BJ27*1000/BC27</f>
        <v>282.39654805989375</v>
      </c>
      <c r="BL27" s="706">
        <f>BK27/BK67*100%</f>
        <v>0.7461333440601715</v>
      </c>
      <c r="BM27" s="689">
        <v>0</v>
      </c>
      <c r="BN27" s="714">
        <v>648</v>
      </c>
      <c r="BO27" s="714">
        <v>206.59</v>
      </c>
      <c r="BP27" s="706">
        <f>BO27/(BN27+BO27)</f>
        <v>0.24174165389250984</v>
      </c>
      <c r="BQ27" s="706"/>
      <c r="BR27" s="690"/>
      <c r="BS27" s="712">
        <f>AT27</f>
        <v>15564.35158</v>
      </c>
      <c r="BT27" s="707">
        <f>BS27*100%/AT27</f>
        <v>1</v>
      </c>
      <c r="BU27" s="716">
        <v>1</v>
      </c>
      <c r="BV27" s="803">
        <v>0</v>
      </c>
      <c r="BW27" s="844">
        <f>1-(BV27/100)</f>
        <v>1</v>
      </c>
      <c r="BX27" s="804">
        <f>2+2</f>
        <v>4</v>
      </c>
      <c r="BY27" s="1022">
        <f>(1-BX27/12)</f>
        <v>0.6666666666666667</v>
      </c>
      <c r="BZ27" s="805"/>
      <c r="CA27" s="805"/>
      <c r="CB27" s="805">
        <v>0</v>
      </c>
      <c r="CC27" s="805">
        <v>1</v>
      </c>
      <c r="CD27" s="806">
        <v>0</v>
      </c>
      <c r="CE27" s="806">
        <v>1</v>
      </c>
      <c r="CF27" s="806">
        <v>0</v>
      </c>
      <c r="CG27" s="806">
        <f>1-CF27/1</f>
        <v>1</v>
      </c>
      <c r="CH27" s="806">
        <v>0</v>
      </c>
      <c r="CI27" s="806">
        <f>1-CH27/1</f>
        <v>1</v>
      </c>
      <c r="CJ27" s="806">
        <v>0</v>
      </c>
      <c r="CK27" s="806">
        <v>1</v>
      </c>
      <c r="CL27" s="719">
        <f>BX27+CB27+CD27+CF27</f>
        <v>4</v>
      </c>
      <c r="CM27" s="690">
        <f>1-CL27/9</f>
        <v>0.5555555555555556</v>
      </c>
      <c r="CN27" s="714"/>
      <c r="CO27" s="717">
        <f>1-CN27/6</f>
        <v>1</v>
      </c>
      <c r="CP27" s="708"/>
      <c r="CQ27" s="708">
        <f>1-CP27/11</f>
        <v>1</v>
      </c>
      <c r="CR27" s="691"/>
      <c r="CS27" s="690">
        <f>1-CR27/3</f>
        <v>1</v>
      </c>
      <c r="CT27" s="691"/>
      <c r="CU27" s="709">
        <f>1-CT27/2</f>
        <v>1</v>
      </c>
      <c r="CV27" s="704"/>
      <c r="CW27" s="690">
        <f>1-CV27/5</f>
        <v>1</v>
      </c>
      <c r="CX27" s="804">
        <f>3+3</f>
        <v>6</v>
      </c>
      <c r="CY27" s="1022">
        <f>1-CX27/12</f>
        <v>0.5</v>
      </c>
      <c r="CZ27" s="718"/>
      <c r="DA27" s="717">
        <f>1-CZ27/7</f>
        <v>1</v>
      </c>
      <c r="DB27" s="719">
        <f>CX27+CZ27</f>
        <v>6</v>
      </c>
      <c r="DC27" s="690">
        <f>1-DB27/14</f>
        <v>0.5714285714285714</v>
      </c>
      <c r="DD27" s="806"/>
      <c r="DE27" s="807"/>
      <c r="DF27" s="806">
        <v>0</v>
      </c>
      <c r="DG27" s="807">
        <f>1-DF27/3</f>
        <v>1</v>
      </c>
      <c r="DH27" s="714"/>
      <c r="DI27" s="690">
        <f>1-DH27/30</f>
        <v>1</v>
      </c>
      <c r="DJ27" s="806"/>
      <c r="DK27" s="806"/>
      <c r="DL27" s="806">
        <v>0</v>
      </c>
      <c r="DM27" s="807">
        <f>1-DL27/14</f>
        <v>1</v>
      </c>
      <c r="DN27" s="691">
        <f>DF27+DL27</f>
        <v>0</v>
      </c>
      <c r="DO27" s="688">
        <f>1-DN27/5</f>
        <v>1</v>
      </c>
      <c r="DP27" s="808">
        <f>44+54</f>
        <v>98</v>
      </c>
      <c r="DQ27" s="844">
        <f>1-DP27/(223+273)*100/100</f>
        <v>0.8024193548387097</v>
      </c>
      <c r="DR27" s="808">
        <v>1</v>
      </c>
      <c r="DS27" s="844">
        <f>1-DR27/(9)*100/100</f>
        <v>0.8888888888888888</v>
      </c>
      <c r="DT27" s="720">
        <v>1</v>
      </c>
      <c r="DU27" s="690">
        <v>1</v>
      </c>
      <c r="DV27" s="720"/>
      <c r="DW27" s="720">
        <v>1</v>
      </c>
      <c r="DX27" s="690">
        <v>1</v>
      </c>
      <c r="DY27" s="720"/>
      <c r="DZ27" s="720">
        <v>1</v>
      </c>
      <c r="EA27" s="690">
        <v>1</v>
      </c>
      <c r="EB27" s="720"/>
      <c r="EC27" s="720">
        <v>1</v>
      </c>
      <c r="ED27" s="690">
        <v>1</v>
      </c>
      <c r="EE27" s="720"/>
      <c r="EF27" s="720">
        <v>0</v>
      </c>
      <c r="EG27" s="690">
        <v>0</v>
      </c>
      <c r="EH27" s="720"/>
      <c r="EI27" s="720">
        <v>0</v>
      </c>
      <c r="EJ27" s="690">
        <v>0</v>
      </c>
      <c r="EK27" s="720"/>
      <c r="EL27" s="720"/>
      <c r="EM27" s="690"/>
      <c r="EN27" s="708"/>
      <c r="EO27" s="690"/>
      <c r="EP27" s="708">
        <f>D27+F27+J27+N27+R27+V27+Z27+AD27+AI27+AM27+AQ27+AW27+BA27+BB27+BF27+BM27+BR27+BU27+BW27+CM27+DC27+DO27+DQ27+DS27</f>
        <v>15.821000198845306</v>
      </c>
      <c r="EQ27" s="704">
        <f>EQ26+1</f>
        <v>16</v>
      </c>
      <c r="ER27" s="736">
        <f>ER58</f>
        <v>1.6333333333333329</v>
      </c>
      <c r="ES27" s="708" t="s">
        <v>117</v>
      </c>
      <c r="EU27" s="322">
        <v>20.244699851664663</v>
      </c>
      <c r="EV27" s="322">
        <v>18</v>
      </c>
      <c r="EW27" s="322">
        <v>1.552704073700215</v>
      </c>
      <c r="EX27" s="322" t="s">
        <v>116</v>
      </c>
    </row>
    <row r="28" spans="1:154" s="322" customFormat="1" ht="18.75">
      <c r="A28" s="692">
        <f>A27+1</f>
        <v>18</v>
      </c>
      <c r="B28" s="695" t="s">
        <v>135</v>
      </c>
      <c r="C28" s="722">
        <v>0</v>
      </c>
      <c r="D28" s="727">
        <v>1</v>
      </c>
      <c r="E28" s="722">
        <v>0</v>
      </c>
      <c r="F28" s="727">
        <v>1</v>
      </c>
      <c r="G28" s="703">
        <v>2926.4</v>
      </c>
      <c r="H28" s="703">
        <v>2326.16043</v>
      </c>
      <c r="I28" s="723">
        <f>(G28-H28)/G28*100%</f>
        <v>0.20511193616730458</v>
      </c>
      <c r="J28" s="703">
        <v>0</v>
      </c>
      <c r="K28" s="797">
        <v>938.50067</v>
      </c>
      <c r="L28" s="797">
        <v>2664.51372</v>
      </c>
      <c r="M28" s="798">
        <f>K28/L28*100%</f>
        <v>0.3522221195393207</v>
      </c>
      <c r="N28" s="836">
        <v>0.5</v>
      </c>
      <c r="O28" s="797">
        <v>938.50067</v>
      </c>
      <c r="P28" s="797">
        <v>3173.60135</v>
      </c>
      <c r="Q28" s="798">
        <f>O28/P28*100%</f>
        <v>0.29572103314110326</v>
      </c>
      <c r="R28" s="837">
        <f>IF(0%&lt;Q28&gt;45%,Q28/45%,1)</f>
        <v>0.6571578514246739</v>
      </c>
      <c r="S28" s="797">
        <f>K28</f>
        <v>938.50067</v>
      </c>
      <c r="T28" s="797">
        <v>643.15983</v>
      </c>
      <c r="U28" s="799">
        <f>S28/T28*100%</f>
        <v>1.4592028703036382</v>
      </c>
      <c r="V28" s="838">
        <f>IF(U28&gt;100%,1,0)</f>
        <v>1</v>
      </c>
      <c r="W28" s="797">
        <v>544.383</v>
      </c>
      <c r="X28" s="797">
        <v>416.862</v>
      </c>
      <c r="Y28" s="800">
        <f>X28/W28*100%</f>
        <v>0.7657513184651247</v>
      </c>
      <c r="Z28" s="837">
        <f>IF(0&lt;Y28&gt;100%,1-Y28/100%,0)</f>
        <v>0.23424868153487532</v>
      </c>
      <c r="AA28" s="797">
        <v>416.862</v>
      </c>
      <c r="AB28" s="797">
        <v>791.652</v>
      </c>
      <c r="AC28" s="799">
        <f>AA28/AB28*100%</f>
        <v>0.5265722817601673</v>
      </c>
      <c r="AD28" s="839">
        <f>IF(0&lt;AC28&gt;100%,1-AC28/100%,0)</f>
        <v>0.47342771823983265</v>
      </c>
      <c r="AE28" s="797">
        <v>1854.235</v>
      </c>
      <c r="AF28" s="797">
        <v>2664.51372</v>
      </c>
      <c r="AG28" s="797">
        <v>101.105</v>
      </c>
      <c r="AH28" s="798">
        <f>AE28/(AF28-AG28)*100%</f>
        <v>0.723347387224305</v>
      </c>
      <c r="AI28" s="838">
        <v>0.5</v>
      </c>
      <c r="AJ28" s="801">
        <v>0</v>
      </c>
      <c r="AK28" s="801">
        <v>-611.29461</v>
      </c>
      <c r="AL28" s="801">
        <f>AJ28-AK28</f>
        <v>611.29461</v>
      </c>
      <c r="AM28" s="836">
        <f>IF(AL28&gt;100%,1,0)</f>
        <v>1</v>
      </c>
      <c r="AN28" s="840">
        <f>(750000+1415000)/1000</f>
        <v>2165</v>
      </c>
      <c r="AO28" s="727">
        <v>2448.5</v>
      </c>
      <c r="AP28" s="723">
        <f>AN28*100%/AO28</f>
        <v>0.8842148254033082</v>
      </c>
      <c r="AQ28" s="746">
        <v>1</v>
      </c>
      <c r="AR28" s="727">
        <f>AT28*100/AT53</f>
        <v>1.746545166519669</v>
      </c>
      <c r="AS28" s="726">
        <v>6539.27</v>
      </c>
      <c r="AT28" s="843">
        <f>6577119.43/1000</f>
        <v>6577.11943</v>
      </c>
      <c r="AU28" s="841">
        <v>3575.6341899999998</v>
      </c>
      <c r="AV28" s="723">
        <f>AU28*100%/AS28</f>
        <v>0.5467940901660276</v>
      </c>
      <c r="AW28" s="697">
        <v>0.8</v>
      </c>
      <c r="AX28" s="842">
        <f>2005000/1000</f>
        <v>2005</v>
      </c>
      <c r="AY28" s="727">
        <f>AX28*100/AN28</f>
        <v>92.60969976905312</v>
      </c>
      <c r="AZ28" s="727">
        <f>AX28*100/AU28</f>
        <v>56.073968797126874</v>
      </c>
      <c r="BA28" s="697">
        <v>0</v>
      </c>
      <c r="BB28" s="697">
        <v>1</v>
      </c>
      <c r="BC28" s="741">
        <v>1856</v>
      </c>
      <c r="BD28" s="727">
        <f>AS28*1000/BC28</f>
        <v>3523.313577586207</v>
      </c>
      <c r="BE28" s="723">
        <f>BD28/BD67*100%</f>
        <v>0.9375385128505093</v>
      </c>
      <c r="BF28" s="697">
        <v>0.9</v>
      </c>
      <c r="BG28" s="742">
        <f>BD28*100/BD53</f>
        <v>93.75385128505093</v>
      </c>
      <c r="BH28" s="727">
        <f>BJ28*100/AN28</f>
        <v>1.3856812933025404</v>
      </c>
      <c r="BI28" s="727">
        <f>BJ28*100/AT28</f>
        <v>0.4561267332802561</v>
      </c>
      <c r="BJ28" s="802">
        <v>30</v>
      </c>
      <c r="BK28" s="727">
        <f>BJ28*1000/BC28</f>
        <v>16.163793103448278</v>
      </c>
      <c r="BL28" s="723">
        <f>BK28/BK67*100%</f>
        <v>0.042707126145234295</v>
      </c>
      <c r="BM28" s="697">
        <v>0</v>
      </c>
      <c r="BN28" s="729">
        <v>720.4</v>
      </c>
      <c r="BO28" s="730">
        <v>63.9</v>
      </c>
      <c r="BP28" s="723">
        <f>BO28/(BN28+BO28)</f>
        <v>0.0814739257937014</v>
      </c>
      <c r="BQ28" s="723"/>
      <c r="BR28" s="698"/>
      <c r="BS28" s="712">
        <f>AT28</f>
        <v>6577.11943</v>
      </c>
      <c r="BT28" s="724">
        <f>BS28*100%/AT28</f>
        <v>1</v>
      </c>
      <c r="BU28" s="743">
        <v>1</v>
      </c>
      <c r="BV28" s="803">
        <v>0</v>
      </c>
      <c r="BW28" s="844">
        <f>1-(BV28/100)</f>
        <v>1</v>
      </c>
      <c r="BX28" s="804">
        <f>2+2</f>
        <v>4</v>
      </c>
      <c r="BY28" s="1022">
        <f>(1-BX28/12)</f>
        <v>0.6666666666666667</v>
      </c>
      <c r="BZ28" s="805"/>
      <c r="CA28" s="805"/>
      <c r="CB28" s="805">
        <v>1</v>
      </c>
      <c r="CC28" s="805">
        <v>0</v>
      </c>
      <c r="CD28" s="806">
        <v>0</v>
      </c>
      <c r="CE28" s="806">
        <v>1</v>
      </c>
      <c r="CF28" s="806">
        <v>0</v>
      </c>
      <c r="CG28" s="806">
        <f>1-CF28/1</f>
        <v>1</v>
      </c>
      <c r="CH28" s="806">
        <v>0</v>
      </c>
      <c r="CI28" s="806">
        <f>1-CH28/1</f>
        <v>1</v>
      </c>
      <c r="CJ28" s="806">
        <v>1</v>
      </c>
      <c r="CK28" s="806">
        <v>0</v>
      </c>
      <c r="CL28" s="719">
        <f>BX28+CB28+CD28+CF28</f>
        <v>5</v>
      </c>
      <c r="CM28" s="690">
        <f>1-CL28/9</f>
        <v>0.4444444444444444</v>
      </c>
      <c r="CN28" s="729"/>
      <c r="CO28" s="729">
        <f>1-CN28/6</f>
        <v>1</v>
      </c>
      <c r="CP28" s="727"/>
      <c r="CQ28" s="727">
        <f>1-CP28/11</f>
        <v>1</v>
      </c>
      <c r="CR28" s="699"/>
      <c r="CS28" s="727">
        <f>1-CR28/3</f>
        <v>1</v>
      </c>
      <c r="CT28" s="699"/>
      <c r="CU28" s="699">
        <f>1-CT28/2</f>
        <v>1</v>
      </c>
      <c r="CV28" s="722"/>
      <c r="CW28" s="727">
        <v>0.9</v>
      </c>
      <c r="CX28" s="804">
        <f>2+2</f>
        <v>4</v>
      </c>
      <c r="CY28" s="1022">
        <f>1-CX28/12</f>
        <v>0.6666666666666667</v>
      </c>
      <c r="CZ28" s="744"/>
      <c r="DA28" s="732">
        <f>1-CZ28/7</f>
        <v>1</v>
      </c>
      <c r="DB28" s="719">
        <f>CX28+CZ28</f>
        <v>4</v>
      </c>
      <c r="DC28" s="690">
        <f>1-DB28/14</f>
        <v>0.7142857142857143</v>
      </c>
      <c r="DD28" s="806"/>
      <c r="DE28" s="807"/>
      <c r="DF28" s="806">
        <v>0</v>
      </c>
      <c r="DG28" s="807">
        <f>1-DF28/3</f>
        <v>1</v>
      </c>
      <c r="DH28" s="729"/>
      <c r="DI28" s="698">
        <f>1-DH28/30</f>
        <v>1</v>
      </c>
      <c r="DJ28" s="806"/>
      <c r="DK28" s="806"/>
      <c r="DL28" s="806">
        <v>0</v>
      </c>
      <c r="DM28" s="807">
        <f>1-DL28/14</f>
        <v>1</v>
      </c>
      <c r="DN28" s="691">
        <f>DF28+DL28</f>
        <v>0</v>
      </c>
      <c r="DO28" s="688">
        <f>1-DN28/5</f>
        <v>1</v>
      </c>
      <c r="DP28" s="808">
        <f>57+62</f>
        <v>119</v>
      </c>
      <c r="DQ28" s="844">
        <f>1-DP28/(289+207)*100/100</f>
        <v>0.7600806451612903</v>
      </c>
      <c r="DR28" s="808">
        <v>2</v>
      </c>
      <c r="DS28" s="844">
        <f>1-DR28/(9)*100/100</f>
        <v>0.7777777777777778</v>
      </c>
      <c r="DT28" s="745">
        <v>1</v>
      </c>
      <c r="DU28" s="727">
        <v>1</v>
      </c>
      <c r="DV28" s="745"/>
      <c r="DW28" s="745">
        <v>1</v>
      </c>
      <c r="DX28" s="727">
        <v>1</v>
      </c>
      <c r="DY28" s="745"/>
      <c r="DZ28" s="745">
        <v>1</v>
      </c>
      <c r="EA28" s="727">
        <v>1</v>
      </c>
      <c r="EB28" s="745"/>
      <c r="EC28" s="745">
        <v>1</v>
      </c>
      <c r="ED28" s="727">
        <v>1</v>
      </c>
      <c r="EE28" s="745"/>
      <c r="EF28" s="745">
        <v>1</v>
      </c>
      <c r="EG28" s="727">
        <v>1</v>
      </c>
      <c r="EH28" s="745"/>
      <c r="EI28" s="745">
        <v>0</v>
      </c>
      <c r="EJ28" s="727">
        <v>0</v>
      </c>
      <c r="EK28" s="745"/>
      <c r="EL28" s="745"/>
      <c r="EM28" s="727"/>
      <c r="EN28" s="727"/>
      <c r="EO28" s="727"/>
      <c r="EP28" s="727">
        <f>D28+F28+J28+N28+R28+V28+Z28+AD28+AI28+AM28+AQ28+AW28+BA28+BB28+BF28+BM28+BR28+BU28+BW28+CM28+DC28+DO28+DQ28+DS28</f>
        <v>15.76142283286861</v>
      </c>
      <c r="EQ28" s="704">
        <f>EQ27+1</f>
        <v>17</v>
      </c>
      <c r="ER28" s="736">
        <f>ER45</f>
        <v>1.6333333333333329</v>
      </c>
      <c r="ES28" s="809" t="s">
        <v>116</v>
      </c>
      <c r="EU28" s="322">
        <v>20.3009034855816</v>
      </c>
      <c r="EV28" s="322">
        <v>17</v>
      </c>
      <c r="EW28" s="322">
        <v>1.552704073700215</v>
      </c>
      <c r="EX28" s="322" t="s">
        <v>116</v>
      </c>
    </row>
    <row r="29" spans="1:154" s="322" customFormat="1" ht="18.75">
      <c r="A29" s="692">
        <f>A25+1</f>
        <v>20</v>
      </c>
      <c r="B29" s="694" t="s">
        <v>127</v>
      </c>
      <c r="C29" s="704">
        <v>0</v>
      </c>
      <c r="D29" s="690">
        <v>1</v>
      </c>
      <c r="E29" s="704">
        <v>0</v>
      </c>
      <c r="F29" s="690">
        <v>1</v>
      </c>
      <c r="G29" s="705">
        <v>19606.5</v>
      </c>
      <c r="H29" s="705">
        <v>24904.51697</v>
      </c>
      <c r="I29" s="706">
        <f>(G29-H29)/G29*100%</f>
        <v>-0.27021737536021223</v>
      </c>
      <c r="J29" s="693">
        <v>0</v>
      </c>
      <c r="K29" s="797">
        <v>9438.88611</v>
      </c>
      <c r="L29" s="797">
        <v>26615.49002</v>
      </c>
      <c r="M29" s="798">
        <f>K29/L29*100%</f>
        <v>0.35463882509422984</v>
      </c>
      <c r="N29" s="836">
        <v>0.5</v>
      </c>
      <c r="O29" s="797">
        <v>9438.88611</v>
      </c>
      <c r="P29" s="797">
        <v>21894.41864</v>
      </c>
      <c r="Q29" s="798">
        <f>O29/P29*100%</f>
        <v>0.4311092367967985</v>
      </c>
      <c r="R29" s="837">
        <f>IF(0%&lt;Q29&gt;45%,Q29/45%,1)</f>
        <v>0.9580205262151078</v>
      </c>
      <c r="S29" s="797">
        <f>K29</f>
        <v>9438.88611</v>
      </c>
      <c r="T29" s="797">
        <v>11253.06081</v>
      </c>
      <c r="U29" s="799">
        <f>S29/T29*100%</f>
        <v>0.8387838890564032</v>
      </c>
      <c r="V29" s="838">
        <f>IF(U29&gt;100%,1,0)</f>
        <v>0</v>
      </c>
      <c r="W29" s="797">
        <v>842.48</v>
      </c>
      <c r="X29" s="797">
        <v>654.853</v>
      </c>
      <c r="Y29" s="800">
        <f>X29/W29*100%</f>
        <v>0.7772920425410691</v>
      </c>
      <c r="Z29" s="837">
        <f>IF(0&lt;Y29&gt;100%,1-Y29/100%,0)</f>
        <v>0.2227079574589309</v>
      </c>
      <c r="AA29" s="797">
        <v>654.853</v>
      </c>
      <c r="AB29" s="797">
        <v>5985.99</v>
      </c>
      <c r="AC29" s="799">
        <f>AA29/AB29*100%</f>
        <v>0.10939761008621798</v>
      </c>
      <c r="AD29" s="839">
        <f>IF(0&lt;AC29&gt;100%,1-AC29/100%,0)</f>
        <v>0.890602389913782</v>
      </c>
      <c r="AE29" s="797">
        <v>17094.84391</v>
      </c>
      <c r="AF29" s="797">
        <v>26615.49002</v>
      </c>
      <c r="AG29" s="797">
        <v>794.851</v>
      </c>
      <c r="AH29" s="798">
        <f>AE29/(AF29-AG29)*100%</f>
        <v>0.6620612253925542</v>
      </c>
      <c r="AI29" s="838">
        <v>0.5</v>
      </c>
      <c r="AJ29" s="801">
        <v>-6586.06601</v>
      </c>
      <c r="AK29" s="801">
        <v>-2025.31142</v>
      </c>
      <c r="AL29" s="801">
        <f>AJ29-AK29</f>
        <v>-4560.75459</v>
      </c>
      <c r="AM29" s="836">
        <f>IF(AL29&gt;100%,1,0)</f>
        <v>0</v>
      </c>
      <c r="AN29" s="840">
        <f>(1180000+3656300)/1000</f>
        <v>4836.3</v>
      </c>
      <c r="AO29" s="708">
        <v>5091.6</v>
      </c>
      <c r="AP29" s="706">
        <f>AN29*100%/AO29</f>
        <v>0.9498585906198445</v>
      </c>
      <c r="AQ29" s="709">
        <v>1</v>
      </c>
      <c r="AR29" s="710">
        <f>AT29*100/AT61</f>
        <v>12.861333537170314</v>
      </c>
      <c r="AS29" s="711">
        <v>52213.76</v>
      </c>
      <c r="AT29" s="843">
        <f>48433059.92/1000</f>
        <v>48433.05992</v>
      </c>
      <c r="AU29" s="841">
        <v>7964.851</v>
      </c>
      <c r="AV29" s="706">
        <f>AU29*100%/AS29</f>
        <v>0.1525431418844381</v>
      </c>
      <c r="AW29" s="689">
        <v>1</v>
      </c>
      <c r="AX29" s="842">
        <f>4340000/1000</f>
        <v>4340</v>
      </c>
      <c r="AY29" s="708">
        <f>AX29*100/AN29</f>
        <v>89.73802286872196</v>
      </c>
      <c r="AZ29" s="708">
        <f>AX29*100/AU29</f>
        <v>54.489406016509285</v>
      </c>
      <c r="BA29" s="689">
        <v>0</v>
      </c>
      <c r="BB29" s="689">
        <v>1</v>
      </c>
      <c r="BC29" s="713">
        <v>13247</v>
      </c>
      <c r="BD29" s="708">
        <f>AS29*1000/BC29</f>
        <v>3941.5535592964443</v>
      </c>
      <c r="BE29" s="706">
        <f>BD29/BD75*100%</f>
        <v>1.0488303640674184</v>
      </c>
      <c r="BF29" s="689">
        <v>1</v>
      </c>
      <c r="BG29" s="689">
        <f>BD29*100/BD66</f>
        <v>104.88303640674185</v>
      </c>
      <c r="BH29" s="690">
        <f>BJ29*100/AN29</f>
        <v>91.48419246117899</v>
      </c>
      <c r="BI29" s="690">
        <f>BJ29*100/AT29</f>
        <v>9.13518577456834</v>
      </c>
      <c r="BJ29" s="802">
        <v>4424.45</v>
      </c>
      <c r="BK29" s="708">
        <f>BJ29*1000/BC29</f>
        <v>333.9963765380841</v>
      </c>
      <c r="BL29" s="706">
        <f>BK29/BK75*100%</f>
        <v>0.882467703810199</v>
      </c>
      <c r="BM29" s="689">
        <v>0</v>
      </c>
      <c r="BN29" s="714">
        <v>0</v>
      </c>
      <c r="BO29" s="715">
        <v>0</v>
      </c>
      <c r="BP29" s="706"/>
      <c r="BQ29" s="706"/>
      <c r="BR29" s="690"/>
      <c r="BS29" s="712">
        <f>AT29</f>
        <v>48433.05992</v>
      </c>
      <c r="BT29" s="707">
        <f>BS29*100%/AT29</f>
        <v>1</v>
      </c>
      <c r="BU29" s="716">
        <v>1</v>
      </c>
      <c r="BV29" s="803">
        <v>1.5940695311185353</v>
      </c>
      <c r="BW29" s="844">
        <f>1-(BV29/100)</f>
        <v>0.9840593046888146</v>
      </c>
      <c r="BX29" s="804">
        <f>1+2</f>
        <v>3</v>
      </c>
      <c r="BY29" s="1022">
        <f>(1-BX29/12)</f>
        <v>0.75</v>
      </c>
      <c r="BZ29" s="805"/>
      <c r="CA29" s="805"/>
      <c r="CB29" s="805">
        <v>0</v>
      </c>
      <c r="CC29" s="805">
        <v>1</v>
      </c>
      <c r="CD29" s="806">
        <v>0</v>
      </c>
      <c r="CE29" s="806">
        <v>1</v>
      </c>
      <c r="CF29" s="806">
        <v>0</v>
      </c>
      <c r="CG29" s="806">
        <f>1-CF29/1</f>
        <v>1</v>
      </c>
      <c r="CH29" s="806">
        <v>0</v>
      </c>
      <c r="CI29" s="806">
        <f>1-CH29/1</f>
        <v>1</v>
      </c>
      <c r="CJ29" s="806">
        <v>0</v>
      </c>
      <c r="CK29" s="806">
        <v>1</v>
      </c>
      <c r="CL29" s="719">
        <f>BX29+CB29+CD29+CF29</f>
        <v>3</v>
      </c>
      <c r="CM29" s="690">
        <f>1-CL29/9</f>
        <v>0.6666666666666667</v>
      </c>
      <c r="CN29" s="714"/>
      <c r="CO29" s="717">
        <f>1-CN29/6</f>
        <v>1</v>
      </c>
      <c r="CP29" s="708"/>
      <c r="CQ29" s="708">
        <f>1-CP29/11</f>
        <v>1</v>
      </c>
      <c r="CR29" s="691"/>
      <c r="CS29" s="690">
        <f>1-CR29/3</f>
        <v>1</v>
      </c>
      <c r="CT29" s="691"/>
      <c r="CU29" s="709">
        <f>1-CT29/2</f>
        <v>1</v>
      </c>
      <c r="CV29" s="704"/>
      <c r="CW29" s="690">
        <f>1-CV29/5</f>
        <v>1</v>
      </c>
      <c r="CX29" s="804">
        <f>2+2</f>
        <v>4</v>
      </c>
      <c r="CY29" s="1022">
        <f>1-CX29/12</f>
        <v>0.6666666666666667</v>
      </c>
      <c r="CZ29" s="718"/>
      <c r="DA29" s="717">
        <f>1-CZ29/7</f>
        <v>1</v>
      </c>
      <c r="DB29" s="719">
        <f>CX29+CZ29</f>
        <v>4</v>
      </c>
      <c r="DC29" s="690">
        <f>1-DB29/14</f>
        <v>0.7142857142857143</v>
      </c>
      <c r="DD29" s="806"/>
      <c r="DE29" s="807"/>
      <c r="DF29" s="806">
        <v>0</v>
      </c>
      <c r="DG29" s="807">
        <f>1-DF29/3</f>
        <v>1</v>
      </c>
      <c r="DH29" s="714"/>
      <c r="DI29" s="690">
        <f>1-DH29/30</f>
        <v>1</v>
      </c>
      <c r="DJ29" s="806"/>
      <c r="DK29" s="806"/>
      <c r="DL29" s="806">
        <v>0</v>
      </c>
      <c r="DM29" s="807">
        <f>1-DL29/14</f>
        <v>1</v>
      </c>
      <c r="DN29" s="691">
        <f>DF29+DL29</f>
        <v>0</v>
      </c>
      <c r="DO29" s="688">
        <f>1-DN29/5</f>
        <v>1</v>
      </c>
      <c r="DP29" s="808">
        <f>141+195</f>
        <v>336</v>
      </c>
      <c r="DQ29" s="844">
        <f>1-DP29/(708+652)*100/100</f>
        <v>0.7529411764705882</v>
      </c>
      <c r="DR29" s="808">
        <v>0</v>
      </c>
      <c r="DS29" s="844">
        <f>1-DR29/(9)*100/100</f>
        <v>1</v>
      </c>
      <c r="DT29" s="720">
        <v>1</v>
      </c>
      <c r="DU29" s="690">
        <v>1</v>
      </c>
      <c r="DV29" s="720"/>
      <c r="DW29" s="720">
        <v>0</v>
      </c>
      <c r="DX29" s="690">
        <v>0</v>
      </c>
      <c r="DY29" s="720"/>
      <c r="DZ29" s="720">
        <v>1</v>
      </c>
      <c r="EA29" s="690">
        <v>1</v>
      </c>
      <c r="EB29" s="720"/>
      <c r="EC29" s="720">
        <v>1</v>
      </c>
      <c r="ED29" s="690">
        <v>1</v>
      </c>
      <c r="EE29" s="720"/>
      <c r="EF29" s="720">
        <v>1</v>
      </c>
      <c r="EG29" s="690">
        <v>1</v>
      </c>
      <c r="EH29" s="720"/>
      <c r="EI29" s="720">
        <v>1</v>
      </c>
      <c r="EJ29" s="690">
        <v>1</v>
      </c>
      <c r="EK29" s="720"/>
      <c r="EL29" s="720"/>
      <c r="EM29" s="690"/>
      <c r="EN29" s="708"/>
      <c r="EO29" s="690"/>
      <c r="EP29" s="708">
        <f>D29+F29+J29+N29+R29+V29+Z29+AD29+AI29+AM29+AQ29+AW29+BA29+BB29+BF29+BM29+BR29+BU29+BW29+CM29+DC29+DO29+DQ29+DS29</f>
        <v>15.189283735699604</v>
      </c>
      <c r="EQ29" s="704">
        <f>EQ28+1</f>
        <v>18</v>
      </c>
      <c r="ER29" s="721">
        <f>ER61</f>
        <v>1.6333333333333329</v>
      </c>
      <c r="ES29" s="708" t="s">
        <v>117</v>
      </c>
      <c r="ET29" s="677"/>
      <c r="EU29" s="322">
        <v>22.89823777907702</v>
      </c>
      <c r="EV29" s="322">
        <v>19</v>
      </c>
      <c r="EW29" s="322">
        <v>1.552704073700215</v>
      </c>
      <c r="EX29" s="322" t="s">
        <v>116</v>
      </c>
    </row>
    <row r="30" spans="1:154" s="322" customFormat="1" ht="18.75">
      <c r="A30" s="692">
        <f>A29+1</f>
        <v>21</v>
      </c>
      <c r="B30" s="694" t="s">
        <v>124</v>
      </c>
      <c r="C30" s="704">
        <v>0</v>
      </c>
      <c r="D30" s="690">
        <v>1</v>
      </c>
      <c r="E30" s="704">
        <v>0</v>
      </c>
      <c r="F30" s="690">
        <v>1</v>
      </c>
      <c r="G30" s="705">
        <v>7475.8</v>
      </c>
      <c r="H30" s="705">
        <v>5906.8034</v>
      </c>
      <c r="I30" s="706">
        <f>(G30-H30)/G30*100%</f>
        <v>0.2098767489766982</v>
      </c>
      <c r="J30" s="693">
        <v>0</v>
      </c>
      <c r="K30" s="797">
        <v>2503.15996</v>
      </c>
      <c r="L30" s="797">
        <v>5626.6245</v>
      </c>
      <c r="M30" s="798">
        <f>K30/L30*100%</f>
        <v>0.4448777344214102</v>
      </c>
      <c r="N30" s="836">
        <v>0.5</v>
      </c>
      <c r="O30" s="797">
        <v>2503.15996</v>
      </c>
      <c r="P30" s="797">
        <v>8427.38161</v>
      </c>
      <c r="Q30" s="798">
        <f>O30/P30*100%</f>
        <v>0.2970270097926656</v>
      </c>
      <c r="R30" s="837">
        <f>IF(0%&lt;Q30&gt;45%,Q30/45%,1)</f>
        <v>0.6600600217614792</v>
      </c>
      <c r="S30" s="797">
        <f>K30</f>
        <v>2503.15996</v>
      </c>
      <c r="T30" s="797">
        <v>2946.17627</v>
      </c>
      <c r="U30" s="799">
        <f>S30/T30*100%</f>
        <v>0.8496300732202965</v>
      </c>
      <c r="V30" s="838">
        <f>IF(U30&gt;100%,1,0)</f>
        <v>0</v>
      </c>
      <c r="W30" s="797">
        <v>746.856</v>
      </c>
      <c r="X30" s="797">
        <v>622.635</v>
      </c>
      <c r="Y30" s="800">
        <f>X30/W30*100%</f>
        <v>0.8336747646132587</v>
      </c>
      <c r="Z30" s="837">
        <f>IF(0&lt;Y30&gt;100%,1-Y30/100%,0)</f>
        <v>0.16632523538674127</v>
      </c>
      <c r="AA30" s="797">
        <v>622.635</v>
      </c>
      <c r="AB30" s="797">
        <v>2308.305</v>
      </c>
      <c r="AC30" s="799">
        <f>AA30/AB30*100%</f>
        <v>0.2697368848570705</v>
      </c>
      <c r="AD30" s="839">
        <f>IF(0&lt;AC30&gt;100%,1-AC30/100%,0)</f>
        <v>0.7302631151429295</v>
      </c>
      <c r="AE30" s="797">
        <v>3130.94454</v>
      </c>
      <c r="AF30" s="797">
        <v>5626.6245</v>
      </c>
      <c r="AG30" s="797">
        <v>306.259</v>
      </c>
      <c r="AH30" s="798">
        <f>AE30/(AF30-AG30)*100%</f>
        <v>0.5884829792238898</v>
      </c>
      <c r="AI30" s="838">
        <v>0.5</v>
      </c>
      <c r="AJ30" s="801">
        <v>-177.59963</v>
      </c>
      <c r="AK30" s="801">
        <v>-552.13599</v>
      </c>
      <c r="AL30" s="801">
        <f>AJ30-AK30</f>
        <v>374.53636</v>
      </c>
      <c r="AM30" s="836">
        <f>IF(AL30&gt;100%,1,0)</f>
        <v>1</v>
      </c>
      <c r="AN30" s="840">
        <f>(1037044.58+2174971.12)/1000</f>
        <v>3212.0157000000004</v>
      </c>
      <c r="AO30" s="708">
        <v>3583</v>
      </c>
      <c r="AP30" s="706">
        <f>AN30*100%/AO30</f>
        <v>0.8964598660340498</v>
      </c>
      <c r="AQ30" s="709">
        <v>1</v>
      </c>
      <c r="AR30" s="710">
        <f>AT30*100/AT56</f>
        <v>3.187386633070283</v>
      </c>
      <c r="AS30" s="711">
        <v>12042.16</v>
      </c>
      <c r="AT30" s="843">
        <f>12003023.43/1000</f>
        <v>12003.02343</v>
      </c>
      <c r="AU30" s="841">
        <v>5566.91045</v>
      </c>
      <c r="AV30" s="706">
        <f>AU30*100%/AS30</f>
        <v>0.4622850427165891</v>
      </c>
      <c r="AW30" s="689">
        <v>1</v>
      </c>
      <c r="AX30" s="842">
        <f>3208015.7/1000</f>
        <v>3208.0157000000004</v>
      </c>
      <c r="AY30" s="708">
        <f>AX30*100/AN30</f>
        <v>99.87546760745909</v>
      </c>
      <c r="AZ30" s="708">
        <f>AX30*100/AU30</f>
        <v>57.626500889735</v>
      </c>
      <c r="BA30" s="689">
        <v>0</v>
      </c>
      <c r="BB30" s="689">
        <v>1</v>
      </c>
      <c r="BC30" s="713">
        <v>5190</v>
      </c>
      <c r="BD30" s="708">
        <f>AS30*1000/BC30</f>
        <v>2320.26204238921</v>
      </c>
      <c r="BE30" s="706">
        <f>BD30/BD70*100%</f>
        <v>0.6174116997373164</v>
      </c>
      <c r="BF30" s="689">
        <v>0</v>
      </c>
      <c r="BG30" s="689">
        <f>BD30*100/BD61</f>
        <v>61.741169973731644</v>
      </c>
      <c r="BH30" s="690">
        <f>BJ30*100/AN30</f>
        <v>8.717267477864445</v>
      </c>
      <c r="BI30" s="690">
        <f>BJ30*100/AT30</f>
        <v>2.3327455922495024</v>
      </c>
      <c r="BJ30" s="802">
        <v>280</v>
      </c>
      <c r="BK30" s="708">
        <f>BJ30*1000/BC30</f>
        <v>53.94990366088632</v>
      </c>
      <c r="BL30" s="706">
        <f>BK30/BK70*100%</f>
        <v>0.14254360510697084</v>
      </c>
      <c r="BM30" s="689">
        <v>0</v>
      </c>
      <c r="BN30" s="714">
        <v>0</v>
      </c>
      <c r="BO30" s="715">
        <v>0</v>
      </c>
      <c r="BP30" s="706"/>
      <c r="BQ30" s="706"/>
      <c r="BR30" s="690"/>
      <c r="BS30" s="712">
        <f>AT30</f>
        <v>12003.02343</v>
      </c>
      <c r="BT30" s="707">
        <f>BS30*100%/AT30</f>
        <v>1</v>
      </c>
      <c r="BU30" s="716">
        <v>1</v>
      </c>
      <c r="BV30" s="803">
        <v>0</v>
      </c>
      <c r="BW30" s="844">
        <f>1-(BV30/100)</f>
        <v>1</v>
      </c>
      <c r="BX30" s="804">
        <f>1+2</f>
        <v>3</v>
      </c>
      <c r="BY30" s="1022">
        <f>(1-BX30/12)</f>
        <v>0.75</v>
      </c>
      <c r="BZ30" s="805"/>
      <c r="CA30" s="805"/>
      <c r="CB30" s="805">
        <v>0</v>
      </c>
      <c r="CC30" s="805">
        <v>1</v>
      </c>
      <c r="CD30" s="806">
        <v>0</v>
      </c>
      <c r="CE30" s="806">
        <v>1</v>
      </c>
      <c r="CF30" s="806">
        <v>0</v>
      </c>
      <c r="CG30" s="806">
        <f>1-CF30/1</f>
        <v>1</v>
      </c>
      <c r="CH30" s="806">
        <v>0</v>
      </c>
      <c r="CI30" s="806">
        <f>1-CH30/1</f>
        <v>1</v>
      </c>
      <c r="CJ30" s="806">
        <v>1</v>
      </c>
      <c r="CK30" s="806">
        <v>0</v>
      </c>
      <c r="CL30" s="719">
        <f>BX30+CB30+CD30+CF30</f>
        <v>3</v>
      </c>
      <c r="CM30" s="690">
        <f>1-CL30/9</f>
        <v>0.6666666666666667</v>
      </c>
      <c r="CN30" s="714"/>
      <c r="CO30" s="717">
        <f>1-CN30/6</f>
        <v>1</v>
      </c>
      <c r="CP30" s="708"/>
      <c r="CQ30" s="708">
        <f>1-CP30/11</f>
        <v>1</v>
      </c>
      <c r="CR30" s="691"/>
      <c r="CS30" s="690">
        <f>1-CR30/3</f>
        <v>1</v>
      </c>
      <c r="CT30" s="691"/>
      <c r="CU30" s="709">
        <f>1-CT30/2</f>
        <v>1</v>
      </c>
      <c r="CV30" s="704"/>
      <c r="CW30" s="690">
        <f>1-CV30/5</f>
        <v>1</v>
      </c>
      <c r="CX30" s="804">
        <f>1+1</f>
        <v>2</v>
      </c>
      <c r="CY30" s="1022">
        <f>1-CX30/12</f>
        <v>0.8333333333333334</v>
      </c>
      <c r="CZ30" s="718"/>
      <c r="DA30" s="717">
        <f>1-CZ30/7</f>
        <v>1</v>
      </c>
      <c r="DB30" s="719">
        <f>CX30+CZ30</f>
        <v>2</v>
      </c>
      <c r="DC30" s="690">
        <f>1-DB30/14</f>
        <v>0.8571428571428572</v>
      </c>
      <c r="DD30" s="806"/>
      <c r="DE30" s="807"/>
      <c r="DF30" s="806">
        <v>0</v>
      </c>
      <c r="DG30" s="807">
        <f>1-DF30/3</f>
        <v>1</v>
      </c>
      <c r="DH30" s="714"/>
      <c r="DI30" s="690">
        <f>1-DH30/30</f>
        <v>1</v>
      </c>
      <c r="DJ30" s="806"/>
      <c r="DK30" s="806"/>
      <c r="DL30" s="806">
        <v>0</v>
      </c>
      <c r="DM30" s="807">
        <f>1-DL30/14</f>
        <v>1</v>
      </c>
      <c r="DN30" s="691">
        <f>DF30+DL30</f>
        <v>0</v>
      </c>
      <c r="DO30" s="688">
        <f>1-DN30/5</f>
        <v>1</v>
      </c>
      <c r="DP30" s="808">
        <f>22+29</f>
        <v>51</v>
      </c>
      <c r="DQ30" s="844">
        <f>1-DP30/(225+287)*100/100</f>
        <v>0.900390625</v>
      </c>
      <c r="DR30" s="808">
        <v>0</v>
      </c>
      <c r="DS30" s="844">
        <f>1-DR30/(9)*100/100</f>
        <v>1</v>
      </c>
      <c r="DT30" s="720">
        <v>1</v>
      </c>
      <c r="DU30" s="690">
        <v>1</v>
      </c>
      <c r="DV30" s="720"/>
      <c r="DW30" s="720">
        <v>1</v>
      </c>
      <c r="DX30" s="690">
        <v>1</v>
      </c>
      <c r="DY30" s="720"/>
      <c r="DZ30" s="720">
        <v>1</v>
      </c>
      <c r="EA30" s="690">
        <v>1</v>
      </c>
      <c r="EB30" s="720"/>
      <c r="EC30" s="720">
        <v>1</v>
      </c>
      <c r="ED30" s="690">
        <v>1</v>
      </c>
      <c r="EE30" s="720"/>
      <c r="EF30" s="720">
        <v>1</v>
      </c>
      <c r="EG30" s="690">
        <v>1</v>
      </c>
      <c r="EH30" s="720"/>
      <c r="EI30" s="720">
        <v>1</v>
      </c>
      <c r="EJ30" s="690">
        <v>1</v>
      </c>
      <c r="EK30" s="720"/>
      <c r="EL30" s="720"/>
      <c r="EM30" s="690"/>
      <c r="EN30" s="708"/>
      <c r="EO30" s="690"/>
      <c r="EP30" s="708">
        <f>D30+F30+J30+N30+R30+V30+Z30+AD30+AI30+AM30+AQ30+AW30+BA30+BB30+BF30+BM30+BR30+BU30+BW30+CM30+DC30+DO30+DQ30+DS30</f>
        <v>14.980848521100674</v>
      </c>
      <c r="EQ30" s="704">
        <f>EQ29+1</f>
        <v>19</v>
      </c>
      <c r="ER30" s="721">
        <f>ER61</f>
        <v>1.6333333333333329</v>
      </c>
      <c r="ES30" s="708" t="s">
        <v>117</v>
      </c>
      <c r="EU30" s="322">
        <v>21.28406506910028</v>
      </c>
      <c r="EV30" s="322">
        <v>20</v>
      </c>
      <c r="EW30" s="322">
        <v>1.552704073700215</v>
      </c>
      <c r="EX30" s="322" t="s">
        <v>116</v>
      </c>
    </row>
    <row r="31" spans="1:154" s="675" customFormat="1" ht="18.75">
      <c r="A31" s="692">
        <f>A30+1</f>
        <v>22</v>
      </c>
      <c r="B31" s="694" t="s">
        <v>123</v>
      </c>
      <c r="C31" s="704">
        <v>0</v>
      </c>
      <c r="D31" s="690">
        <v>1</v>
      </c>
      <c r="E31" s="704">
        <v>0</v>
      </c>
      <c r="F31" s="690">
        <v>1</v>
      </c>
      <c r="G31" s="705">
        <v>2854.7</v>
      </c>
      <c r="H31" s="705">
        <v>2762.71304</v>
      </c>
      <c r="I31" s="706">
        <f>(G31-H31)/G31*100%</f>
        <v>0.03222298665358873</v>
      </c>
      <c r="J31" s="688">
        <v>0.8</v>
      </c>
      <c r="K31" s="797">
        <v>1376.91776</v>
      </c>
      <c r="L31" s="797">
        <v>2639.29276</v>
      </c>
      <c r="M31" s="798">
        <f>K31/L31*100%</f>
        <v>0.5216995177147381</v>
      </c>
      <c r="N31" s="836">
        <v>0.8</v>
      </c>
      <c r="O31" s="797">
        <v>1376.91776</v>
      </c>
      <c r="P31" s="797">
        <v>4419.99827</v>
      </c>
      <c r="Q31" s="798">
        <f>O31/P31*100%</f>
        <v>0.3115199771333847</v>
      </c>
      <c r="R31" s="837">
        <f>IF(0%&lt;Q31&gt;45%,Q31/45%,1)</f>
        <v>0.692266615851966</v>
      </c>
      <c r="S31" s="797">
        <f>K31</f>
        <v>1376.91776</v>
      </c>
      <c r="T31" s="797">
        <v>1011.53029</v>
      </c>
      <c r="U31" s="799">
        <f>S31/T31*100%</f>
        <v>1.361222470164487</v>
      </c>
      <c r="V31" s="838">
        <f>IF(U31&gt;100%,1,0)</f>
        <v>1</v>
      </c>
      <c r="W31" s="797">
        <v>910.002</v>
      </c>
      <c r="X31" s="797">
        <v>794.924</v>
      </c>
      <c r="Y31" s="800">
        <f>X31/W31*100%</f>
        <v>0.8735409372726654</v>
      </c>
      <c r="Z31" s="837">
        <f>IF(0&lt;Y31&gt;100%,1-Y31/100%,0)</f>
        <v>0.12645906272733465</v>
      </c>
      <c r="AA31" s="797">
        <v>794.924</v>
      </c>
      <c r="AB31" s="797">
        <v>1042.821</v>
      </c>
      <c r="AC31" s="799">
        <f>AA31/AB31*100%</f>
        <v>0.7622823092361969</v>
      </c>
      <c r="AD31" s="839">
        <f>IF(0&lt;AC31&gt;100%,1-AC31/100%,0)</f>
        <v>0.2377176907638031</v>
      </c>
      <c r="AE31" s="797">
        <v>1262.375</v>
      </c>
      <c r="AF31" s="797">
        <v>2639.29276</v>
      </c>
      <c r="AG31" s="797">
        <v>144.295</v>
      </c>
      <c r="AH31" s="798">
        <f>AE31/(AF31-AG31)*100%</f>
        <v>0.5059623780984878</v>
      </c>
      <c r="AI31" s="838">
        <v>0.5</v>
      </c>
      <c r="AJ31" s="801">
        <v>-115.3444</v>
      </c>
      <c r="AK31" s="801">
        <v>-21.14913</v>
      </c>
      <c r="AL31" s="801">
        <f>AJ31-AK31</f>
        <v>-94.19527</v>
      </c>
      <c r="AM31" s="836">
        <f>IF(AL31&gt;100%,1,0)</f>
        <v>0</v>
      </c>
      <c r="AN31" s="840">
        <f>(732741.2+1726631.12)/1000</f>
        <v>2459.3723200000004</v>
      </c>
      <c r="AO31" s="708">
        <v>2711.1</v>
      </c>
      <c r="AP31" s="706">
        <f>AN31*100%/AO31</f>
        <v>0.9071492456936301</v>
      </c>
      <c r="AQ31" s="709">
        <v>1</v>
      </c>
      <c r="AR31" s="710">
        <f>AT31*100/AT57</f>
        <v>1.9308145987469134</v>
      </c>
      <c r="AS31" s="711">
        <v>7344</v>
      </c>
      <c r="AT31" s="843">
        <f>7271039.11/1000</f>
        <v>7271.039110000001</v>
      </c>
      <c r="AU31" s="841">
        <v>3590.0729</v>
      </c>
      <c r="AV31" s="706">
        <f>AU31*100%/AS31</f>
        <v>0.4888443491285403</v>
      </c>
      <c r="AW31" s="689">
        <v>1</v>
      </c>
      <c r="AX31" s="842">
        <f>2164212.2/1000</f>
        <v>2164.2122000000004</v>
      </c>
      <c r="AY31" s="708">
        <f>AX31*100/AN31</f>
        <v>87.99855891685404</v>
      </c>
      <c r="AZ31" s="708">
        <f>AX31*100/AU31</f>
        <v>60.28323825959078</v>
      </c>
      <c r="BA31" s="689">
        <v>0</v>
      </c>
      <c r="BB31" s="689">
        <v>1</v>
      </c>
      <c r="BC31" s="713">
        <v>2267</v>
      </c>
      <c r="BD31" s="708">
        <f>AS31*1000/BC31</f>
        <v>3239.523599470666</v>
      </c>
      <c r="BE31" s="706">
        <f>BD31/BD71*100%</f>
        <v>0.8620232264062635</v>
      </c>
      <c r="BF31" s="689">
        <v>0.8</v>
      </c>
      <c r="BG31" s="689">
        <f>BD31*100/BD63</f>
        <v>86.20232264062635</v>
      </c>
      <c r="BH31" s="690">
        <f>BJ31*100/AN31</f>
        <v>34.47383273794022</v>
      </c>
      <c r="BI31" s="690">
        <f>BJ31*100/AT31</f>
        <v>11.660505289181424</v>
      </c>
      <c r="BJ31" s="802">
        <v>847.8399000000001</v>
      </c>
      <c r="BK31" s="708">
        <f>BJ31*1000/BC31</f>
        <v>373.9920158800177</v>
      </c>
      <c r="BL31" s="706">
        <f>BK31/BK71*100%</f>
        <v>0.9881420838089665</v>
      </c>
      <c r="BM31" s="689">
        <v>0</v>
      </c>
      <c r="BN31" s="714">
        <v>429.1</v>
      </c>
      <c r="BO31" s="715">
        <v>17.6</v>
      </c>
      <c r="BP31" s="706">
        <f>BO31/(BN31+BO31)</f>
        <v>0.03940004477277815</v>
      </c>
      <c r="BQ31" s="706"/>
      <c r="BR31" s="690"/>
      <c r="BS31" s="712">
        <f>AT31</f>
        <v>7271.039110000001</v>
      </c>
      <c r="BT31" s="707">
        <f>BS31*100%/AT31</f>
        <v>1</v>
      </c>
      <c r="BU31" s="716">
        <v>1</v>
      </c>
      <c r="BV31" s="803">
        <v>0</v>
      </c>
      <c r="BW31" s="844">
        <f>1-(BV31/100)</f>
        <v>1</v>
      </c>
      <c r="BX31" s="804">
        <f>3+4</f>
        <v>7</v>
      </c>
      <c r="BY31" s="1022">
        <f>(1-BX31/12)</f>
        <v>0.41666666666666663</v>
      </c>
      <c r="BZ31" s="805"/>
      <c r="CA31" s="805"/>
      <c r="CB31" s="805">
        <v>0</v>
      </c>
      <c r="CC31" s="805">
        <v>1</v>
      </c>
      <c r="CD31" s="806">
        <v>0</v>
      </c>
      <c r="CE31" s="806">
        <v>1</v>
      </c>
      <c r="CF31" s="806">
        <v>0</v>
      </c>
      <c r="CG31" s="806">
        <f>1-CF31/1</f>
        <v>1</v>
      </c>
      <c r="CH31" s="806">
        <v>0</v>
      </c>
      <c r="CI31" s="806">
        <f>1-CH31/1</f>
        <v>1</v>
      </c>
      <c r="CJ31" s="806">
        <v>1</v>
      </c>
      <c r="CK31" s="806">
        <v>0</v>
      </c>
      <c r="CL31" s="719">
        <f>BX31+CB31+CD31+CF31</f>
        <v>7</v>
      </c>
      <c r="CM31" s="690">
        <f>1-CL31/9</f>
        <v>0.2222222222222222</v>
      </c>
      <c r="CN31" s="714"/>
      <c r="CO31" s="717">
        <f>1-CN31/6</f>
        <v>1</v>
      </c>
      <c r="CP31" s="708"/>
      <c r="CQ31" s="708">
        <f>1-CP31/11</f>
        <v>1</v>
      </c>
      <c r="CR31" s="691"/>
      <c r="CS31" s="690">
        <f>1-CR31/3</f>
        <v>1</v>
      </c>
      <c r="CT31" s="691"/>
      <c r="CU31" s="709">
        <f>1-CT31/2</f>
        <v>1</v>
      </c>
      <c r="CV31" s="704"/>
      <c r="CW31" s="690">
        <f>1-CV31/5</f>
        <v>1</v>
      </c>
      <c r="CX31" s="804">
        <f>5+3</f>
        <v>8</v>
      </c>
      <c r="CY31" s="1022">
        <f>1-CX31/12</f>
        <v>0.33333333333333337</v>
      </c>
      <c r="CZ31" s="718">
        <v>6</v>
      </c>
      <c r="DA31" s="717">
        <f>1-CZ31/7</f>
        <v>0.1428571428571429</v>
      </c>
      <c r="DB31" s="719">
        <f>CR31+CT31+CX31+CZ31+CV31</f>
        <v>14</v>
      </c>
      <c r="DC31" s="690">
        <f>1-DB31/14</f>
        <v>0</v>
      </c>
      <c r="DD31" s="806"/>
      <c r="DE31" s="807"/>
      <c r="DF31" s="806">
        <v>0</v>
      </c>
      <c r="DG31" s="807">
        <f>1-DF31/3</f>
        <v>1</v>
      </c>
      <c r="DH31" s="714"/>
      <c r="DI31" s="690">
        <f>1-DH31/30</f>
        <v>1</v>
      </c>
      <c r="DJ31" s="806"/>
      <c r="DK31" s="806"/>
      <c r="DL31" s="806">
        <v>0</v>
      </c>
      <c r="DM31" s="807">
        <f>1-DL31/14</f>
        <v>1</v>
      </c>
      <c r="DN31" s="691">
        <f>DF31+DL31</f>
        <v>0</v>
      </c>
      <c r="DO31" s="688">
        <f>1-DN31/5</f>
        <v>1</v>
      </c>
      <c r="DP31" s="808">
        <f>97+142</f>
        <v>239</v>
      </c>
      <c r="DQ31" s="844">
        <f>1-DP31/(325+285)*100/100</f>
        <v>0.6081967213114754</v>
      </c>
      <c r="DR31" s="808">
        <v>1</v>
      </c>
      <c r="DS31" s="844">
        <f>1-DR31/(9)*100/100</f>
        <v>0.8888888888888888</v>
      </c>
      <c r="DT31" s="720">
        <v>1</v>
      </c>
      <c r="DU31" s="690">
        <v>1</v>
      </c>
      <c r="DV31" s="720"/>
      <c r="DW31" s="720">
        <v>1</v>
      </c>
      <c r="DX31" s="690">
        <v>1</v>
      </c>
      <c r="DY31" s="720"/>
      <c r="DZ31" s="720">
        <v>1</v>
      </c>
      <c r="EA31" s="690">
        <v>1</v>
      </c>
      <c r="EB31" s="720"/>
      <c r="EC31" s="720">
        <v>1</v>
      </c>
      <c r="ED31" s="690">
        <v>1</v>
      </c>
      <c r="EE31" s="720"/>
      <c r="EF31" s="720">
        <v>1</v>
      </c>
      <c r="EG31" s="690">
        <v>1</v>
      </c>
      <c r="EH31" s="720"/>
      <c r="EI31" s="720">
        <v>1</v>
      </c>
      <c r="EJ31" s="690">
        <v>1</v>
      </c>
      <c r="EK31" s="720"/>
      <c r="EL31" s="720"/>
      <c r="EM31" s="690"/>
      <c r="EN31" s="708"/>
      <c r="EO31" s="690"/>
      <c r="EP31" s="708">
        <f>D31+F31+J31+N31+R31+V31+Z31+AD31+AI31+AM31+AQ31+AW31+BA31+BB31+BF31+BM31+BR31+BU31+BW31+CM31+DC31+DO31+DQ31+DS31</f>
        <v>14.675751201765692</v>
      </c>
      <c r="EQ31" s="704">
        <f>EQ30+1</f>
        <v>20</v>
      </c>
      <c r="ER31" s="736">
        <f>ER45</f>
        <v>1.6333333333333329</v>
      </c>
      <c r="ES31" s="809" t="s">
        <v>116</v>
      </c>
      <c r="EU31" s="675">
        <v>20.94788285343631</v>
      </c>
      <c r="EV31" s="675">
        <v>21</v>
      </c>
      <c r="EW31" s="675">
        <v>1.552704073700215</v>
      </c>
      <c r="EX31" s="675" t="s">
        <v>116</v>
      </c>
    </row>
    <row r="32" spans="1:154" s="54" customFormat="1" ht="18.75">
      <c r="A32" s="692">
        <f>A31+1</f>
        <v>23</v>
      </c>
      <c r="B32" s="694" t="s">
        <v>132</v>
      </c>
      <c r="C32" s="704">
        <v>0</v>
      </c>
      <c r="D32" s="690">
        <v>1</v>
      </c>
      <c r="E32" s="704">
        <v>0</v>
      </c>
      <c r="F32" s="690">
        <v>1</v>
      </c>
      <c r="G32" s="705">
        <v>4224.2</v>
      </c>
      <c r="H32" s="705">
        <v>3488.02004</v>
      </c>
      <c r="I32" s="706">
        <f>(G32-H32)/G32*100%</f>
        <v>0.17427677666777142</v>
      </c>
      <c r="J32" s="688">
        <v>0.1</v>
      </c>
      <c r="K32" s="797">
        <v>1257.57182</v>
      </c>
      <c r="L32" s="797">
        <v>2468.70482</v>
      </c>
      <c r="M32" s="798">
        <f>K32/L32*100%</f>
        <v>0.5094055027607554</v>
      </c>
      <c r="N32" s="836">
        <v>0.8</v>
      </c>
      <c r="O32" s="797">
        <v>1257.57182</v>
      </c>
      <c r="P32" s="797">
        <v>3986.34641</v>
      </c>
      <c r="Q32" s="798">
        <f>O32/P32*100%</f>
        <v>0.31546977875412485</v>
      </c>
      <c r="R32" s="837">
        <f>IF(0%&lt;Q32&gt;45%,Q32/45%,1)</f>
        <v>0.7010439527869441</v>
      </c>
      <c r="S32" s="797">
        <f>K32</f>
        <v>1257.57182</v>
      </c>
      <c r="T32" s="797">
        <v>1289.08685</v>
      </c>
      <c r="U32" s="799">
        <f>S32/T32*100%</f>
        <v>0.9755524385343004</v>
      </c>
      <c r="V32" s="838">
        <f>IF(U32&gt;100%,1,0)</f>
        <v>0</v>
      </c>
      <c r="W32" s="797">
        <v>1144.069</v>
      </c>
      <c r="X32" s="797">
        <v>798.67</v>
      </c>
      <c r="Y32" s="800">
        <f>X32/W32*100%</f>
        <v>0.6980960064471636</v>
      </c>
      <c r="Z32" s="837">
        <f>IF(0&lt;Y32&gt;100%,1-Y32/100%,0)</f>
        <v>0.30190399355283637</v>
      </c>
      <c r="AA32" s="797">
        <v>798.67</v>
      </c>
      <c r="AB32" s="797">
        <v>789.887</v>
      </c>
      <c r="AC32" s="799">
        <f>AA32/AB32*100%</f>
        <v>1.011119312002856</v>
      </c>
      <c r="AD32" s="839">
        <f>IF(0&lt;AC32&gt;100%,1-AC32/100%,0)</f>
        <v>-0.011119312002856097</v>
      </c>
      <c r="AE32" s="797">
        <v>1202.133</v>
      </c>
      <c r="AF32" s="797">
        <v>2468.70482</v>
      </c>
      <c r="AG32" s="797">
        <v>124.663</v>
      </c>
      <c r="AH32" s="798">
        <f>AE32/(AF32-AG32)*100%</f>
        <v>0.512846225584832</v>
      </c>
      <c r="AI32" s="838">
        <v>0.5</v>
      </c>
      <c r="AJ32" s="801">
        <v>-70.164</v>
      </c>
      <c r="AK32" s="801">
        <v>-531.22603</v>
      </c>
      <c r="AL32" s="801">
        <f>AJ32-AK32</f>
        <v>461.06203000000005</v>
      </c>
      <c r="AM32" s="836">
        <f>IF(AL32&gt;100%,1,0)</f>
        <v>1</v>
      </c>
      <c r="AN32" s="840">
        <f>(801800+1301500)/1000</f>
        <v>2103.3</v>
      </c>
      <c r="AO32" s="708">
        <v>2395.6</v>
      </c>
      <c r="AP32" s="706">
        <f>AN32*100%/AO32</f>
        <v>0.8779846385039239</v>
      </c>
      <c r="AQ32" s="709">
        <v>1</v>
      </c>
      <c r="AR32" s="710">
        <f>AT32*100/AT58</f>
        <v>1.7407461337524788</v>
      </c>
      <c r="AS32" s="711">
        <v>6555.28</v>
      </c>
      <c r="AT32" s="843">
        <f>6555281.5/1000</f>
        <v>6555.2815</v>
      </c>
      <c r="AU32" s="841">
        <v>3271.063</v>
      </c>
      <c r="AV32" s="706">
        <f>AU32*100%/AS32</f>
        <v>0.49899668664038765</v>
      </c>
      <c r="AW32" s="689">
        <v>1</v>
      </c>
      <c r="AX32" s="842">
        <f>2050300/1000</f>
        <v>2050.3</v>
      </c>
      <c r="AY32" s="708">
        <f>AX32*100/AN32</f>
        <v>97.4801502400989</v>
      </c>
      <c r="AZ32" s="708">
        <f>AX32*100/AU32</f>
        <v>62.67993004109063</v>
      </c>
      <c r="BA32" s="689">
        <v>0</v>
      </c>
      <c r="BB32" s="689">
        <v>1</v>
      </c>
      <c r="BC32" s="713">
        <v>1846</v>
      </c>
      <c r="BD32" s="708">
        <f>AS32*1000/BC32</f>
        <v>3551.0725893824483</v>
      </c>
      <c r="BE32" s="706">
        <f>BD32/BD72*100%</f>
        <v>0.9449250658962582</v>
      </c>
      <c r="BF32" s="689">
        <v>0.9</v>
      </c>
      <c r="BG32" s="689">
        <f>BD32*100/BD61</f>
        <v>94.49250658962582</v>
      </c>
      <c r="BH32" s="690">
        <f>BJ32*100/AN32</f>
        <v>31.92813673750772</v>
      </c>
      <c r="BI32" s="690">
        <f>BJ32*100/AT32</f>
        <v>10.244327417518225</v>
      </c>
      <c r="BJ32" s="802">
        <v>671.5445</v>
      </c>
      <c r="BK32" s="708">
        <f>BJ32*1000/BC32</f>
        <v>363.7835861321777</v>
      </c>
      <c r="BL32" s="706">
        <f>BK32/BK72*100%</f>
        <v>0.9611699062887805</v>
      </c>
      <c r="BM32" s="689">
        <v>0</v>
      </c>
      <c r="BN32" s="714">
        <v>857.9</v>
      </c>
      <c r="BO32" s="715">
        <v>54.38</v>
      </c>
      <c r="BP32" s="706">
        <f>BO32/(BN32+BO32)</f>
        <v>0.05960889200684001</v>
      </c>
      <c r="BQ32" s="706"/>
      <c r="BR32" s="690"/>
      <c r="BS32" s="712">
        <f>AT32</f>
        <v>6555.2815</v>
      </c>
      <c r="BT32" s="707">
        <f>BS32*100%/AT32</f>
        <v>1</v>
      </c>
      <c r="BU32" s="716">
        <v>1</v>
      </c>
      <c r="BV32" s="803">
        <v>0</v>
      </c>
      <c r="BW32" s="844">
        <f>1-(BV32/100)</f>
        <v>1</v>
      </c>
      <c r="BX32" s="804">
        <f>2+2</f>
        <v>4</v>
      </c>
      <c r="BY32" s="1022">
        <f>(1-BX32/12)</f>
        <v>0.6666666666666667</v>
      </c>
      <c r="BZ32" s="805"/>
      <c r="CA32" s="805"/>
      <c r="CB32" s="805">
        <v>1</v>
      </c>
      <c r="CC32" s="805">
        <v>0</v>
      </c>
      <c r="CD32" s="806">
        <v>0</v>
      </c>
      <c r="CE32" s="806">
        <v>1</v>
      </c>
      <c r="CF32" s="806">
        <v>0</v>
      </c>
      <c r="CG32" s="806">
        <f>1-CF32/1</f>
        <v>1</v>
      </c>
      <c r="CH32" s="806">
        <v>0</v>
      </c>
      <c r="CI32" s="806">
        <f>1-CH32/1</f>
        <v>1</v>
      </c>
      <c r="CJ32" s="806">
        <v>1</v>
      </c>
      <c r="CK32" s="806">
        <v>0</v>
      </c>
      <c r="CL32" s="719">
        <f>BX32+CB32+CD32+CF32</f>
        <v>5</v>
      </c>
      <c r="CM32" s="690">
        <f>1-CL32/9</f>
        <v>0.4444444444444444</v>
      </c>
      <c r="CN32" s="714"/>
      <c r="CO32" s="717">
        <f>1-CN32/6</f>
        <v>1</v>
      </c>
      <c r="CP32" s="708"/>
      <c r="CQ32" s="708">
        <f>1-CP32/11</f>
        <v>1</v>
      </c>
      <c r="CR32" s="691"/>
      <c r="CS32" s="690">
        <f>1-CR32/3</f>
        <v>1</v>
      </c>
      <c r="CT32" s="691"/>
      <c r="CU32" s="709">
        <f>1-CT32/2</f>
        <v>1</v>
      </c>
      <c r="CV32" s="704"/>
      <c r="CW32" s="690">
        <f>1-CV32/5</f>
        <v>1</v>
      </c>
      <c r="CX32" s="804">
        <f>1+1</f>
        <v>2</v>
      </c>
      <c r="CY32" s="1022">
        <f>1-CX32/12</f>
        <v>0.8333333333333334</v>
      </c>
      <c r="CZ32" s="718">
        <v>7</v>
      </c>
      <c r="DA32" s="717">
        <f>1-CZ32/7</f>
        <v>0</v>
      </c>
      <c r="DB32" s="719">
        <f>CX32+CZ32</f>
        <v>9</v>
      </c>
      <c r="DC32" s="690">
        <f>1-DB32/14</f>
        <v>0.3571428571428571</v>
      </c>
      <c r="DD32" s="806"/>
      <c r="DE32" s="807"/>
      <c r="DF32" s="806">
        <v>0</v>
      </c>
      <c r="DG32" s="807">
        <f>1-DF32/3</f>
        <v>1</v>
      </c>
      <c r="DH32" s="714"/>
      <c r="DI32" s="690">
        <f>1-DH32/30</f>
        <v>1</v>
      </c>
      <c r="DJ32" s="806"/>
      <c r="DK32" s="806"/>
      <c r="DL32" s="806">
        <v>1</v>
      </c>
      <c r="DM32" s="807">
        <f>1-DL32/14</f>
        <v>0.9285714285714286</v>
      </c>
      <c r="DN32" s="691">
        <f>DF32+DL32</f>
        <v>1</v>
      </c>
      <c r="DO32" s="688">
        <f>1-DN32/5</f>
        <v>0.8</v>
      </c>
      <c r="DP32" s="808">
        <f>117+67</f>
        <v>184</v>
      </c>
      <c r="DQ32" s="844">
        <f>1-DP32/(589+669)*100/100</f>
        <v>0.8537360890302067</v>
      </c>
      <c r="DR32" s="808">
        <v>2</v>
      </c>
      <c r="DS32" s="844">
        <f>1-DR32/(9)*100/100</f>
        <v>0.7777777777777778</v>
      </c>
      <c r="DT32" s="720">
        <v>1</v>
      </c>
      <c r="DU32" s="690">
        <v>1</v>
      </c>
      <c r="DV32" s="720"/>
      <c r="DW32" s="720">
        <v>1</v>
      </c>
      <c r="DX32" s="690">
        <v>1</v>
      </c>
      <c r="DY32" s="720"/>
      <c r="DZ32" s="720">
        <v>1</v>
      </c>
      <c r="EA32" s="690">
        <v>1</v>
      </c>
      <c r="EB32" s="720"/>
      <c r="EC32" s="720">
        <v>1</v>
      </c>
      <c r="ED32" s="690">
        <v>1</v>
      </c>
      <c r="EE32" s="720"/>
      <c r="EF32" s="720">
        <v>1</v>
      </c>
      <c r="EG32" s="690">
        <v>1</v>
      </c>
      <c r="EH32" s="720"/>
      <c r="EI32" s="720">
        <v>1</v>
      </c>
      <c r="EJ32" s="690">
        <v>1</v>
      </c>
      <c r="EK32" s="720"/>
      <c r="EL32" s="720"/>
      <c r="EM32" s="690"/>
      <c r="EN32" s="708"/>
      <c r="EO32" s="690"/>
      <c r="EP32" s="708">
        <f>D32+F32+J32+N32+R32+V32+Z32+AD32+AI32+AM32+AQ32+AW32+BA32+BB32+BF32+BM32+BR32+BU32+BW32+CM32+DC32+DO32+DQ32+DS32</f>
        <v>14.524929802732213</v>
      </c>
      <c r="EQ32" s="704">
        <f>EQ31+1</f>
        <v>21</v>
      </c>
      <c r="ER32" s="721">
        <f>ER51</f>
        <v>1.6333333333333329</v>
      </c>
      <c r="ES32" s="809" t="s">
        <v>116</v>
      </c>
      <c r="ET32" s="80"/>
      <c r="EU32" s="54">
        <v>19.83964054628982</v>
      </c>
      <c r="EV32" s="54">
        <v>23</v>
      </c>
      <c r="EW32" s="54">
        <v>1.552704073700215</v>
      </c>
      <c r="EX32" s="54" t="s">
        <v>116</v>
      </c>
    </row>
    <row r="33" spans="1:154" s="409" customFormat="1" ht="21.75" customHeight="1">
      <c r="A33" s="692">
        <f>A32+1</f>
        <v>24</v>
      </c>
      <c r="B33" s="692" t="s">
        <v>115</v>
      </c>
      <c r="C33" s="704">
        <v>0</v>
      </c>
      <c r="D33" s="690">
        <v>1</v>
      </c>
      <c r="E33" s="704">
        <v>0</v>
      </c>
      <c r="F33" s="690">
        <v>1</v>
      </c>
      <c r="G33" s="705">
        <v>4441.3</v>
      </c>
      <c r="H33" s="705">
        <v>2634.24895</v>
      </c>
      <c r="I33" s="706">
        <f>(G33-H33)/G33*100%</f>
        <v>0.40687434985252063</v>
      </c>
      <c r="J33" s="688">
        <v>0</v>
      </c>
      <c r="K33" s="797">
        <v>1371.00422</v>
      </c>
      <c r="L33" s="797">
        <v>2908.91093</v>
      </c>
      <c r="M33" s="798">
        <f>K33/L33*100%</f>
        <v>0.4713118596587624</v>
      </c>
      <c r="N33" s="836">
        <v>0.5</v>
      </c>
      <c r="O33" s="797">
        <v>1371.00422</v>
      </c>
      <c r="P33" s="797">
        <v>5730.05413</v>
      </c>
      <c r="Q33" s="798">
        <f>O33/P33*100%</f>
        <v>0.2392654918951001</v>
      </c>
      <c r="R33" s="837">
        <f>IF(0%&lt;Q33&gt;45%,Q33/45%,1)</f>
        <v>0.5317010931002224</v>
      </c>
      <c r="S33" s="797">
        <f>K33</f>
        <v>1371.00422</v>
      </c>
      <c r="T33" s="797">
        <v>1061.02707</v>
      </c>
      <c r="U33" s="799">
        <f>S33/T33*100%</f>
        <v>1.29214820127068</v>
      </c>
      <c r="V33" s="838">
        <f>IF(U33&gt;100%,1,0)</f>
        <v>1</v>
      </c>
      <c r="W33" s="797">
        <v>1183.399</v>
      </c>
      <c r="X33" s="797">
        <v>1031.071</v>
      </c>
      <c r="Y33" s="799">
        <f>X33/W33*100%</f>
        <v>0.871279255770877</v>
      </c>
      <c r="Z33" s="837">
        <f>IF(0&lt;Y33&gt;100%,1-Y33/100%,0)</f>
        <v>0.12872074422912305</v>
      </c>
      <c r="AA33" s="797">
        <v>1031.071</v>
      </c>
      <c r="AB33" s="797">
        <v>1248.297</v>
      </c>
      <c r="AC33" s="799">
        <f>AA33/AB33*100%</f>
        <v>0.8259821180376143</v>
      </c>
      <c r="AD33" s="839">
        <f>IF(0&lt;AC33&gt;100%,1-AC33/100%,0)</f>
        <v>0.17401788196238566</v>
      </c>
      <c r="AE33" s="797">
        <v>1531.60171</v>
      </c>
      <c r="AF33" s="797">
        <v>2908.91093</v>
      </c>
      <c r="AG33" s="797">
        <v>145.031</v>
      </c>
      <c r="AH33" s="798">
        <f>AE33/(AF33-AG33)*100%</f>
        <v>0.5541491485847577</v>
      </c>
      <c r="AI33" s="838">
        <v>0.5</v>
      </c>
      <c r="AJ33" s="801">
        <v>-25.69531</v>
      </c>
      <c r="AK33" s="801">
        <v>-163.66054</v>
      </c>
      <c r="AL33" s="801">
        <f>AJ33-AK33</f>
        <v>137.96523</v>
      </c>
      <c r="AM33" s="836">
        <f>IF(AL33&gt;100%,1,0)</f>
        <v>1</v>
      </c>
      <c r="AN33" s="840">
        <f>(584840+1410760)/1000</f>
        <v>1995.6</v>
      </c>
      <c r="AO33" s="708">
        <v>2926.5</v>
      </c>
      <c r="AP33" s="706">
        <f>AN33*100%/AO33</f>
        <v>0.6819067145053819</v>
      </c>
      <c r="AQ33" s="709">
        <v>1</v>
      </c>
      <c r="AR33" s="710">
        <f>AT33*100/AT59</f>
        <v>2.2689551509360637</v>
      </c>
      <c r="AS33" s="711">
        <v>8424.4</v>
      </c>
      <c r="AT33" s="843">
        <f>8544404.86/1000</f>
        <v>8544.404859999999</v>
      </c>
      <c r="AU33" s="841">
        <v>2806.1187</v>
      </c>
      <c r="AV33" s="706">
        <f>AU33*100%/AS33</f>
        <v>0.33309419068420304</v>
      </c>
      <c r="AW33" s="689">
        <v>1</v>
      </c>
      <c r="AX33" s="843">
        <f>1935600/1000</f>
        <v>1935.6</v>
      </c>
      <c r="AY33" s="708">
        <f>AX33*100/AN33</f>
        <v>96.99338544798557</v>
      </c>
      <c r="AZ33" s="708">
        <f>AX33*100/AU33</f>
        <v>68.9778376089365</v>
      </c>
      <c r="BA33" s="689">
        <v>0</v>
      </c>
      <c r="BB33" s="689">
        <v>1</v>
      </c>
      <c r="BC33" s="713">
        <v>2713</v>
      </c>
      <c r="BD33" s="708">
        <f>AT33*1000/BC33</f>
        <v>3149.430468116476</v>
      </c>
      <c r="BE33" s="706">
        <f>BD33/BD73*100%</f>
        <v>0.8380498335963849</v>
      </c>
      <c r="BF33" s="689">
        <v>0.8</v>
      </c>
      <c r="BG33" s="689">
        <f>BD33*100/BD70</f>
        <v>83.80498335963848</v>
      </c>
      <c r="BH33" s="690">
        <f>BJ33*100/AN33</f>
        <v>6.263780316696733</v>
      </c>
      <c r="BI33" s="690">
        <f>BJ33*100/AT33</f>
        <v>1.4629456591550136</v>
      </c>
      <c r="BJ33" s="802">
        <v>125</v>
      </c>
      <c r="BK33" s="708">
        <f>BJ33*1000/BC33</f>
        <v>46.074456321415404</v>
      </c>
      <c r="BL33" s="706">
        <f>BK33/BK73*100%</f>
        <v>0.12173551131213116</v>
      </c>
      <c r="BM33" s="689">
        <v>0</v>
      </c>
      <c r="BN33" s="714">
        <v>505.4</v>
      </c>
      <c r="BO33" s="715">
        <v>151.51</v>
      </c>
      <c r="BP33" s="706">
        <f>BO33/(BN33+BO33)</f>
        <v>0.23064042258452452</v>
      </c>
      <c r="BQ33" s="706"/>
      <c r="BR33" s="690"/>
      <c r="BS33" s="712">
        <f>AT33</f>
        <v>8544.404859999999</v>
      </c>
      <c r="BT33" s="707">
        <v>1</v>
      </c>
      <c r="BU33" s="716">
        <v>1</v>
      </c>
      <c r="BV33" s="803">
        <v>0</v>
      </c>
      <c r="BW33" s="844">
        <f>1-(BV33/100)</f>
        <v>1</v>
      </c>
      <c r="BX33" s="804">
        <f>3+3</f>
        <v>6</v>
      </c>
      <c r="BY33" s="1022">
        <f>(1-BX33/12)</f>
        <v>0.5</v>
      </c>
      <c r="BZ33" s="805"/>
      <c r="CA33" s="805"/>
      <c r="CB33" s="805">
        <v>1</v>
      </c>
      <c r="CC33" s="805">
        <v>0</v>
      </c>
      <c r="CD33" s="806">
        <v>0</v>
      </c>
      <c r="CE33" s="806">
        <v>1</v>
      </c>
      <c r="CF33" s="806">
        <v>0</v>
      </c>
      <c r="CG33" s="806">
        <f>1-CF33/1</f>
        <v>1</v>
      </c>
      <c r="CH33" s="806">
        <v>0</v>
      </c>
      <c r="CI33" s="806">
        <f>1-CH33/1</f>
        <v>1</v>
      </c>
      <c r="CJ33" s="806">
        <v>1</v>
      </c>
      <c r="CK33" s="806">
        <v>0</v>
      </c>
      <c r="CL33" s="719">
        <f>BX33+CB33+CD33+CF33</f>
        <v>7</v>
      </c>
      <c r="CM33" s="690">
        <f>1-CL33/9</f>
        <v>0.2222222222222222</v>
      </c>
      <c r="CN33" s="714"/>
      <c r="CO33" s="717">
        <f>1-CN33/6</f>
        <v>1</v>
      </c>
      <c r="CP33" s="708"/>
      <c r="CQ33" s="708">
        <f>1-CP33/11</f>
        <v>1</v>
      </c>
      <c r="CR33" s="691"/>
      <c r="CS33" s="690">
        <f>1-CR33/3</f>
        <v>1</v>
      </c>
      <c r="CT33" s="691"/>
      <c r="CU33" s="709">
        <f>1-CT33/2</f>
        <v>1</v>
      </c>
      <c r="CV33" s="704"/>
      <c r="CW33" s="690">
        <f>1-CV33/5</f>
        <v>1</v>
      </c>
      <c r="CX33" s="804">
        <f>4+3</f>
        <v>7</v>
      </c>
      <c r="CY33" s="1022">
        <f>1-CX33/12</f>
        <v>0.41666666666666663</v>
      </c>
      <c r="CZ33" s="718">
        <v>4</v>
      </c>
      <c r="DA33" s="717">
        <f>1-CZ33/7</f>
        <v>0.4285714285714286</v>
      </c>
      <c r="DB33" s="719">
        <f>CR33+CT33+CX33+CZ33+CV33</f>
        <v>11</v>
      </c>
      <c r="DC33" s="690">
        <f>1-DB33/14</f>
        <v>0.2142857142857143</v>
      </c>
      <c r="DD33" s="806"/>
      <c r="DE33" s="807"/>
      <c r="DF33" s="806">
        <v>0</v>
      </c>
      <c r="DG33" s="807">
        <f>1-DF33/3</f>
        <v>1</v>
      </c>
      <c r="DH33" s="714"/>
      <c r="DI33" s="690">
        <f>1-DH33/30</f>
        <v>1</v>
      </c>
      <c r="DJ33" s="806"/>
      <c r="DK33" s="806"/>
      <c r="DL33" s="806">
        <v>0</v>
      </c>
      <c r="DM33" s="807">
        <f>1-DL33/14</f>
        <v>1</v>
      </c>
      <c r="DN33" s="691">
        <f>DF33+DL33</f>
        <v>0</v>
      </c>
      <c r="DO33" s="688">
        <f>1-DN33/5</f>
        <v>1</v>
      </c>
      <c r="DP33" s="808">
        <f>93+107</f>
        <v>200</v>
      </c>
      <c r="DQ33" s="844">
        <f>1-DP33/(309+356)*100/100</f>
        <v>0.6992481203007519</v>
      </c>
      <c r="DR33" s="808">
        <v>7</v>
      </c>
      <c r="DS33" s="844">
        <f>1-DR33/(9)*100/100</f>
        <v>0.2222222222222221</v>
      </c>
      <c r="DT33" s="720">
        <v>1</v>
      </c>
      <c r="DU33" s="690">
        <v>1</v>
      </c>
      <c r="DV33" s="720"/>
      <c r="DW33" s="720">
        <v>1</v>
      </c>
      <c r="DX33" s="690">
        <v>1</v>
      </c>
      <c r="DY33" s="720"/>
      <c r="DZ33" s="720">
        <v>1</v>
      </c>
      <c r="EA33" s="690">
        <v>1</v>
      </c>
      <c r="EB33" s="720"/>
      <c r="EC33" s="720">
        <v>1</v>
      </c>
      <c r="ED33" s="690">
        <v>1</v>
      </c>
      <c r="EE33" s="720"/>
      <c r="EF33" s="720">
        <v>1</v>
      </c>
      <c r="EG33" s="690">
        <v>1</v>
      </c>
      <c r="EH33" s="720"/>
      <c r="EI33" s="720">
        <v>1</v>
      </c>
      <c r="EJ33" s="690">
        <v>1</v>
      </c>
      <c r="EK33" s="720"/>
      <c r="EL33" s="720"/>
      <c r="EM33" s="690"/>
      <c r="EN33" s="708"/>
      <c r="EO33" s="690"/>
      <c r="EP33" s="708">
        <f>D33+F33+J33+N33+R33+V33+Z33+AD33+AI33+AM33+AQ33+AW33+BA33+BB33+BF33+BM33+BR33+BU33+BW33+CM33+DC33+DO33+DQ33+DS33</f>
        <v>13.99241799832264</v>
      </c>
      <c r="EQ33" s="704">
        <f>EQ32+1</f>
        <v>22</v>
      </c>
      <c r="ER33" s="736">
        <f>ER50</f>
        <v>1.6333333333333329</v>
      </c>
      <c r="ES33" s="809" t="s">
        <v>116</v>
      </c>
      <c r="EU33" s="409">
        <v>19.740985861303372</v>
      </c>
      <c r="EV33" s="409">
        <v>24</v>
      </c>
      <c r="EW33" s="409">
        <v>1.552704073700215</v>
      </c>
      <c r="EX33" s="409" t="s">
        <v>116</v>
      </c>
    </row>
    <row r="34" spans="1:154" s="54" customFormat="1" ht="18" customHeight="1">
      <c r="A34" s="811"/>
      <c r="B34" s="812" t="s">
        <v>105</v>
      </c>
      <c r="C34" s="813">
        <f>SUM(C1:C13)</f>
        <v>0</v>
      </c>
      <c r="D34" s="813">
        <f>SUM(D10:D33)/24</f>
        <v>1</v>
      </c>
      <c r="E34" s="813">
        <f>SUM(E1:E13)</f>
        <v>0</v>
      </c>
      <c r="F34" s="813">
        <f>SUM(F10:F33)/24</f>
        <v>1</v>
      </c>
      <c r="G34" s="814">
        <f>SUM(G10:G33)</f>
        <v>171681.53999000002</v>
      </c>
      <c r="H34" s="814">
        <f>SUM(H10:H33)</f>
        <v>202971.01819</v>
      </c>
      <c r="I34" s="815">
        <f>(G34-H34)/G34*100%</f>
        <v>-0.1822530145164268</v>
      </c>
      <c r="J34" s="813">
        <f>SUM(J10:J33)/24</f>
        <v>0.19132179796226848</v>
      </c>
      <c r="K34" s="816">
        <f>SUM(K10:K33)</f>
        <v>100876.59001</v>
      </c>
      <c r="L34" s="816">
        <f>SUM(L10:L33)</f>
        <v>162937.06713000004</v>
      </c>
      <c r="M34" s="817">
        <f>K34/L34*100%</f>
        <v>0.61911381975174</v>
      </c>
      <c r="N34" s="818">
        <f>SUM(N10:N33)/24</f>
        <v>0.7791666666666668</v>
      </c>
      <c r="O34" s="816">
        <f>SUM(O10:O33)</f>
        <v>100876.59001</v>
      </c>
      <c r="P34" s="816">
        <f>SUM(P10:P33)</f>
        <v>225880.5895</v>
      </c>
      <c r="Q34" s="817">
        <f>O34/P34*100%</f>
        <v>0.4465925568606682</v>
      </c>
      <c r="R34" s="818">
        <f>SUM(R10:R33)/24</f>
        <v>0.8476643307721501</v>
      </c>
      <c r="S34" s="816">
        <f>SUM(S10:S33)</f>
        <v>100876.59001</v>
      </c>
      <c r="T34" s="816">
        <f>SUM(T10:T33)</f>
        <v>73439.63671</v>
      </c>
      <c r="U34" s="817">
        <f>S34/T34*100%</f>
        <v>1.3735987067629924</v>
      </c>
      <c r="V34" s="818">
        <f>SUM(V10:V33)/24</f>
        <v>0.8333333333333334</v>
      </c>
      <c r="W34" s="816">
        <f>SUM(W10:W33)</f>
        <v>49560.54500000001</v>
      </c>
      <c r="X34" s="816">
        <f>SUM(X10:X33)</f>
        <v>38863.240000000005</v>
      </c>
      <c r="Y34" s="817">
        <f>X34/W34*100%</f>
        <v>0.7841568328193324</v>
      </c>
      <c r="Z34" s="818">
        <f>SUM(Z10:Z33)/24</f>
        <v>0.18293116113821903</v>
      </c>
      <c r="AA34" s="816">
        <f>SUM(AA10:AA33)</f>
        <v>38863.240000000005</v>
      </c>
      <c r="AB34" s="816">
        <f>SUM(AB10:AB33)</f>
        <v>77022.99599999998</v>
      </c>
      <c r="AC34" s="819">
        <f>AA34/AB34*100%</f>
        <v>0.5045667140758847</v>
      </c>
      <c r="AD34" s="818">
        <f>SUM(AD10:AD33)/24</f>
        <v>0.49467174632037975</v>
      </c>
      <c r="AE34" s="816">
        <f>SUM(AE10:AE33)</f>
        <v>62661.86469</v>
      </c>
      <c r="AF34" s="816">
        <f>SUM(AF10:AF33)</f>
        <v>162937.06713000004</v>
      </c>
      <c r="AG34" s="816">
        <f>SUM(AG10:AG33)</f>
        <v>5680.274999999999</v>
      </c>
      <c r="AH34" s="820">
        <f>AE34/(AF34-AG34)*100%</f>
        <v>0.3984684148853748</v>
      </c>
      <c r="AI34" s="818">
        <f>SUM(AI10:AI33)/24</f>
        <v>0.7541666666666668</v>
      </c>
      <c r="AJ34" s="822">
        <f>SUM(AJ10:AJ33)</f>
        <v>-36773.657119999996</v>
      </c>
      <c r="AK34" s="822">
        <f>SUM(AK10:AK33)</f>
        <v>-54296.947619999984</v>
      </c>
      <c r="AL34" s="823">
        <f>AJ34-AK34</f>
        <v>17523.29049999999</v>
      </c>
      <c r="AM34" s="818">
        <f>SUM(AM10:AM33)/24</f>
        <v>0.6666666666666666</v>
      </c>
      <c r="AN34" s="827">
        <f>SUM(AN10:AN33)</f>
        <v>67499.10970000002</v>
      </c>
      <c r="AO34" s="824">
        <f>SUM(AO10:AO33)</f>
        <v>78129.50000000001</v>
      </c>
      <c r="AP34" s="815">
        <f>AN34*100%/AO34</f>
        <v>0.8639388412827421</v>
      </c>
      <c r="AQ34" s="813">
        <v>1</v>
      </c>
      <c r="AR34" s="813">
        <f>AT34*100/AT60</f>
        <v>100</v>
      </c>
      <c r="AS34" s="824">
        <f>SUM(AS10:AS33)</f>
        <v>408410.53</v>
      </c>
      <c r="AT34" s="827">
        <f>SUM(AT10:AT33)</f>
        <v>376578.83438</v>
      </c>
      <c r="AU34" s="835">
        <v>122146.42430999999</v>
      </c>
      <c r="AV34" s="815">
        <f>AU34/AT34</f>
        <v>0.32435817724886756</v>
      </c>
      <c r="AW34" s="813">
        <v>1</v>
      </c>
      <c r="AX34" s="827">
        <f>SUM(AX10:AX33)</f>
        <v>64737.61221</v>
      </c>
      <c r="AY34" s="813">
        <f>AX34*100/AN34</f>
        <v>95.90883864650438</v>
      </c>
      <c r="AZ34" s="813">
        <f>AX34*100/AU34</f>
        <v>53.00000599747397</v>
      </c>
      <c r="BA34" s="813">
        <f>SUM(BA1:BA12)/24</f>
        <v>0</v>
      </c>
      <c r="BB34" s="813">
        <v>1</v>
      </c>
      <c r="BC34" s="824">
        <f>SUM(BC10:BC33)</f>
        <v>100206</v>
      </c>
      <c r="BD34" s="824">
        <f>AT34*1000/BC34</f>
        <v>3758.0467674590345</v>
      </c>
      <c r="BE34" s="815">
        <f>BD34/BD40*100%</f>
        <v>1</v>
      </c>
      <c r="BF34" s="813">
        <v>1</v>
      </c>
      <c r="BG34" s="826">
        <f>BD34*100/BD40</f>
        <v>100</v>
      </c>
      <c r="BH34" s="813">
        <f>BJ34*100/AN34</f>
        <v>64.91491026288304</v>
      </c>
      <c r="BI34" s="813">
        <f>BJ34*100/AT34</f>
        <v>11.6355414828718</v>
      </c>
      <c r="BJ34" s="827">
        <f>SUM(BJ10:BJ33)</f>
        <v>43816.986489999996</v>
      </c>
      <c r="BK34" s="813">
        <v>378.48</v>
      </c>
      <c r="BL34" s="815">
        <f>BK34/BK40*100%</f>
        <v>1</v>
      </c>
      <c r="BM34" s="813">
        <f>SUM(BM10:BM33)/24</f>
        <v>0.4583333333333333</v>
      </c>
      <c r="BN34" s="824">
        <f>SUM(BN10:BN33)</f>
        <v>15878.8</v>
      </c>
      <c r="BO34" s="824">
        <f>SUM(BO10:BO33)</f>
        <v>4157.8</v>
      </c>
      <c r="BP34" s="815">
        <f>BO34/(BN34+BO34)</f>
        <v>0.20751025623109712</v>
      </c>
      <c r="BQ34" s="815">
        <v>1</v>
      </c>
      <c r="BR34" s="813">
        <f>SUM(BR10:BR33)/24</f>
        <v>0.041666666666666664</v>
      </c>
      <c r="BS34" s="814">
        <f>SUM(BS10:BS33)</f>
        <v>376578.83438</v>
      </c>
      <c r="BT34" s="815">
        <f>BS34*100%/AT34</f>
        <v>1</v>
      </c>
      <c r="BU34" s="828">
        <v>1</v>
      </c>
      <c r="BV34" s="829">
        <v>4.970811529713792</v>
      </c>
      <c r="BW34" s="830">
        <f>1-(BV34/100)</f>
        <v>0.9502918847028621</v>
      </c>
      <c r="BX34" s="829">
        <f>SUM(BX10:BX33)</f>
        <v>97</v>
      </c>
      <c r="BY34" s="830">
        <f>SUM(BY10:BY33)/24</f>
        <v>0.6631944444444443</v>
      </c>
      <c r="BZ34" s="818">
        <f>SUM(BZ10:BZ33)</f>
        <v>0</v>
      </c>
      <c r="CA34" s="818">
        <f>SUM(CA10:CA33)/24</f>
        <v>0</v>
      </c>
      <c r="CB34" s="818">
        <f>SUM(CB10:CB33)</f>
        <v>11</v>
      </c>
      <c r="CC34" s="818">
        <f>SUM(CC10:CC33)/24</f>
        <v>0.5416666666666666</v>
      </c>
      <c r="CD34" s="818">
        <f>SUM(CD10:CD33)</f>
        <v>3</v>
      </c>
      <c r="CE34" s="818">
        <f>SUM(CE10:CE33)/24</f>
        <v>0.875</v>
      </c>
      <c r="CF34" s="818">
        <f>SUM(CF10:CF33)</f>
        <v>0</v>
      </c>
      <c r="CG34" s="818">
        <f>SUM(CG10:CG33)/24</f>
        <v>1</v>
      </c>
      <c r="CH34" s="818">
        <f>SUM(CH10:CH33)</f>
        <v>0</v>
      </c>
      <c r="CI34" s="818">
        <f>SUM(CI10:CI33)/24</f>
        <v>1</v>
      </c>
      <c r="CJ34" s="818">
        <f>SUM(CJ10:CJ33)</f>
        <v>9</v>
      </c>
      <c r="CK34" s="818">
        <f>SUM(CK10:CK33)/24</f>
        <v>0.625</v>
      </c>
      <c r="CL34" s="813">
        <f>SUM(CL10:CL33)</f>
        <v>111</v>
      </c>
      <c r="CM34" s="829">
        <f>SUM(CM10:CM33)/24</f>
        <v>0.4861111111111111</v>
      </c>
      <c r="CN34" s="813">
        <f>SUM(CN1:CN12)</f>
        <v>0</v>
      </c>
      <c r="CO34" s="813">
        <f>SUM(CO1:CO12)/24</f>
        <v>0.125</v>
      </c>
      <c r="CP34" s="813">
        <f>SUM(CP10:CP33)</f>
        <v>0</v>
      </c>
      <c r="CQ34" s="813">
        <f>SUM(CQ10:CQ33)/24</f>
        <v>1</v>
      </c>
      <c r="CR34" s="813">
        <f>SUM(CR10:CR33)</f>
        <v>0</v>
      </c>
      <c r="CS34" s="813">
        <f>SUM(CS10:CS33)/24</f>
        <v>1</v>
      </c>
      <c r="CT34" s="813">
        <f>SUM(CT10:CT33)</f>
        <v>0</v>
      </c>
      <c r="CU34" s="813">
        <f>SUM(CU10:CU33)/24</f>
        <v>1</v>
      </c>
      <c r="CV34" s="813">
        <f>SUM(CV10:CV33)</f>
        <v>0</v>
      </c>
      <c r="CW34" s="813">
        <f>SUM(CW10:CW33)/24</f>
        <v>0.9958333333333332</v>
      </c>
      <c r="CX34" s="829">
        <f>SUM(CX10:CX33)</f>
        <v>106</v>
      </c>
      <c r="CY34" s="830">
        <f>SUM(CY10:CY33)/24</f>
        <v>0.6319444444444444</v>
      </c>
      <c r="CZ34" s="825">
        <f>SUM(CZ10:CZ33)</f>
        <v>42</v>
      </c>
      <c r="DA34" s="825">
        <f>SUM(DA10:DA33)/24</f>
        <v>0.75</v>
      </c>
      <c r="DB34" s="813">
        <f>SUM(DB10:DB33)</f>
        <v>148</v>
      </c>
      <c r="DC34" s="813">
        <f>SUM(DC10:DC33)/24</f>
        <v>0.5595238095238094</v>
      </c>
      <c r="DD34" s="818">
        <f>SUM(DD10:DD33)</f>
        <v>0</v>
      </c>
      <c r="DE34" s="818">
        <f>SUM(DE10:DE33)/24</f>
        <v>0</v>
      </c>
      <c r="DF34" s="818">
        <f>SUM(DF10:DF33)</f>
        <v>8</v>
      </c>
      <c r="DG34" s="818">
        <f>SUM(DG10:DG33)/24</f>
        <v>0.8888888888888888</v>
      </c>
      <c r="DH34" s="813">
        <f>SUM(DH10:DH33)</f>
        <v>0</v>
      </c>
      <c r="DI34" s="813">
        <f>SUM(DI10:DI33)/24</f>
        <v>1</v>
      </c>
      <c r="DJ34" s="818">
        <f>SUM(DJ10:DJ33)</f>
        <v>0</v>
      </c>
      <c r="DK34" s="818">
        <f>SUM(DK10:DK33)/24</f>
        <v>0</v>
      </c>
      <c r="DL34" s="818">
        <f>SUM(DL10:DL33)</f>
        <v>10</v>
      </c>
      <c r="DM34" s="818">
        <f>SUM(DM10:DM33)/24</f>
        <v>0.9702380952380952</v>
      </c>
      <c r="DN34" s="813">
        <f>SUM(DN10:DN33)</f>
        <v>18</v>
      </c>
      <c r="DO34" s="813">
        <f>SUM(DO10:DO33)/24</f>
        <v>0.8500000000000001</v>
      </c>
      <c r="DP34" s="831">
        <f>SUM(DP10:DP33)</f>
        <v>2806</v>
      </c>
      <c r="DQ34" s="832">
        <f>(SUM(DQ10:DQ33))/24</f>
        <v>0.8406535849652531</v>
      </c>
      <c r="DR34" s="831">
        <f>SUM(DR10:DR33)</f>
        <v>59</v>
      </c>
      <c r="DS34" s="832">
        <f>(SUM(DS10:DS33))/24</f>
        <v>0.726851851851852</v>
      </c>
      <c r="DT34" s="813">
        <f>SUM(DT10:DT33)</f>
        <v>24</v>
      </c>
      <c r="DU34" s="813">
        <f>SUM(DU10:DU33)/24</f>
        <v>1</v>
      </c>
      <c r="DV34" s="813">
        <f>SUM(DV1:DV7)</f>
        <v>0</v>
      </c>
      <c r="DW34" s="813">
        <f>SUM(DW10:DW33)</f>
        <v>21</v>
      </c>
      <c r="DX34" s="813">
        <f>SUM(DX10:DX33)/24</f>
        <v>0.875</v>
      </c>
      <c r="DY34" s="813">
        <f>SUM(DY1:DY7)</f>
        <v>0</v>
      </c>
      <c r="DZ34" s="813">
        <f>SUM(DZ10:DZ33)</f>
        <v>22</v>
      </c>
      <c r="EA34" s="813">
        <f>SUM(EA10:EA33)/24</f>
        <v>0.9166666666666666</v>
      </c>
      <c r="EB34" s="813">
        <f>SUM(EB1:EB7)</f>
        <v>0</v>
      </c>
      <c r="EC34" s="813">
        <f>SUM(EC10:EC33)</f>
        <v>24</v>
      </c>
      <c r="ED34" s="813">
        <f>SUM(ED10:ED33)/24</f>
        <v>1</v>
      </c>
      <c r="EE34" s="813">
        <f>SUM(EE1:EE7)</f>
        <v>0</v>
      </c>
      <c r="EF34" s="813">
        <f>SUM(EF10:EF33)</f>
        <v>23</v>
      </c>
      <c r="EG34" s="813">
        <f>SUM(EG10:EG33)/24</f>
        <v>0.9583333333333334</v>
      </c>
      <c r="EH34" s="813">
        <f>SUM(EH1:EH7)</f>
        <v>0</v>
      </c>
      <c r="EI34" s="813">
        <f>SUM(EI10:EI33)</f>
        <v>21</v>
      </c>
      <c r="EJ34" s="813">
        <f>SUM(EJ10:EJ33)/24</f>
        <v>0.875</v>
      </c>
      <c r="EK34" s="813">
        <f>SUM(EK1:EK7)</f>
        <v>0</v>
      </c>
      <c r="EL34" s="813">
        <f>SUM(EL10:EL33)</f>
        <v>0</v>
      </c>
      <c r="EM34" s="813">
        <f>SUM(EM10:EM33)/24</f>
        <v>0</v>
      </c>
      <c r="EN34" s="813"/>
      <c r="EO34" s="813"/>
      <c r="EP34" s="813">
        <f>SUM(EP10:EP33)/24</f>
        <v>16.576223945525516</v>
      </c>
      <c r="EQ34" s="833" t="s">
        <v>142</v>
      </c>
      <c r="ER34" s="834">
        <f>(18.9-14)/3</f>
        <v>1.6333333333333329</v>
      </c>
      <c r="ES34" s="813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8" ht="22.5" customHeight="1" hidden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T35" s="140">
        <f aca="true" t="shared" si="1" ref="AT35:AT79">AT34</f>
        <v>376578.83438</v>
      </c>
      <c r="BD35" s="140">
        <f aca="true" t="shared" si="2" ref="BD35:BD66">BD34</f>
        <v>3758.0467674590345</v>
      </c>
      <c r="BK35" s="140">
        <f aca="true" t="shared" si="3" ref="BK35:BK66">BK34</f>
        <v>378.48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18.30955727885885</v>
      </c>
      <c r="EQ35" s="3" t="s">
        <v>145</v>
      </c>
      <c r="ER35" s="676">
        <f>ER34</f>
        <v>1.6333333333333329</v>
      </c>
    </row>
    <row r="36" spans="7:148" ht="15.75" hidden="1">
      <c r="G36" s="142">
        <f>G35-G34</f>
        <v>-54924.312990000006</v>
      </c>
      <c r="H36" s="142">
        <f>H35-H34</f>
        <v>-45153.92292000004</v>
      </c>
      <c r="I36" s="142">
        <f>I35-I34</f>
        <v>-0.16941573717463507</v>
      </c>
      <c r="J36" s="142">
        <f>J35-J34</f>
        <v>0.07704959970420897</v>
      </c>
      <c r="K36" s="142">
        <f>K35-K34</f>
        <v>56940.50525999996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T36" s="140">
        <f t="shared" si="1"/>
        <v>376578.83438</v>
      </c>
      <c r="BD36" s="140">
        <f t="shared" si="2"/>
        <v>3758.0467674590345</v>
      </c>
      <c r="BK36" s="140">
        <f t="shared" si="3"/>
        <v>378.48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15.042890612192183</v>
      </c>
      <c r="EQ36" s="3" t="s">
        <v>147</v>
      </c>
      <c r="ER36" s="676">
        <f aca="true" t="shared" si="4" ref="ER36:ER63">ER35</f>
        <v>1.6333333333333329</v>
      </c>
    </row>
    <row r="37" spans="46:148" ht="15.75" hidden="1">
      <c r="AT37" s="140">
        <f t="shared" si="1"/>
        <v>376578.83438</v>
      </c>
      <c r="BD37" s="140">
        <f t="shared" si="2"/>
        <v>3758.0467674590345</v>
      </c>
      <c r="BK37" s="140">
        <f t="shared" si="3"/>
        <v>378.48</v>
      </c>
      <c r="EM37" s="3" t="s">
        <v>148</v>
      </c>
      <c r="EQ37" s="3" t="s">
        <v>149</v>
      </c>
      <c r="ER37" s="676">
        <f t="shared" si="4"/>
        <v>1.6333333333333329</v>
      </c>
    </row>
    <row r="38" spans="46:148" ht="15.75" hidden="1">
      <c r="AT38" s="140">
        <f t="shared" si="1"/>
        <v>376578.83438</v>
      </c>
      <c r="BD38" s="140">
        <f t="shared" si="2"/>
        <v>3758.0467674590345</v>
      </c>
      <c r="BK38" s="140">
        <f t="shared" si="3"/>
        <v>378.48</v>
      </c>
      <c r="ER38" s="676">
        <f t="shared" si="4"/>
        <v>1.6333333333333329</v>
      </c>
    </row>
    <row r="39" spans="46:148" ht="15.75" hidden="1">
      <c r="AT39" s="140">
        <f t="shared" si="1"/>
        <v>376578.83438</v>
      </c>
      <c r="BD39" s="140">
        <f t="shared" si="2"/>
        <v>3758.0467674590345</v>
      </c>
      <c r="BK39" s="140">
        <f t="shared" si="3"/>
        <v>378.48</v>
      </c>
      <c r="ER39" s="676">
        <f t="shared" si="4"/>
        <v>1.6333333333333329</v>
      </c>
    </row>
    <row r="40" spans="46:148" ht="15.75" hidden="1">
      <c r="AT40" s="140">
        <f t="shared" si="1"/>
        <v>376578.83438</v>
      </c>
      <c r="BD40" s="140">
        <f t="shared" si="2"/>
        <v>3758.0467674590345</v>
      </c>
      <c r="BK40" s="140">
        <f t="shared" si="3"/>
        <v>378.48</v>
      </c>
      <c r="ER40" s="676">
        <f t="shared" si="4"/>
        <v>1.6333333333333329</v>
      </c>
    </row>
    <row r="41" spans="46:148" ht="15.75" hidden="1">
      <c r="AT41" s="140">
        <f t="shared" si="1"/>
        <v>376578.83438</v>
      </c>
      <c r="BD41" s="140">
        <f t="shared" si="2"/>
        <v>3758.0467674590345</v>
      </c>
      <c r="BK41" s="140">
        <f t="shared" si="3"/>
        <v>378.48</v>
      </c>
      <c r="ER41" s="676">
        <f t="shared" si="4"/>
        <v>1.6333333333333329</v>
      </c>
    </row>
    <row r="42" spans="46:148" ht="15.75" hidden="1">
      <c r="AT42" s="140">
        <f t="shared" si="1"/>
        <v>376578.83438</v>
      </c>
      <c r="BD42" s="140">
        <f t="shared" si="2"/>
        <v>3758.0467674590345</v>
      </c>
      <c r="BK42" s="140">
        <f t="shared" si="3"/>
        <v>378.48</v>
      </c>
      <c r="ER42" s="676">
        <f t="shared" si="4"/>
        <v>1.6333333333333329</v>
      </c>
    </row>
    <row r="43" spans="46:148" ht="15.75" hidden="1">
      <c r="AT43" s="140">
        <f t="shared" si="1"/>
        <v>376578.83438</v>
      </c>
      <c r="BD43" s="140">
        <f t="shared" si="2"/>
        <v>3758.0467674590345</v>
      </c>
      <c r="BK43" s="140">
        <f t="shared" si="3"/>
        <v>378.48</v>
      </c>
      <c r="ER43" s="676">
        <f t="shared" si="4"/>
        <v>1.6333333333333329</v>
      </c>
    </row>
    <row r="44" spans="46:148" ht="15.75" hidden="1">
      <c r="AT44" s="140">
        <f t="shared" si="1"/>
        <v>376578.83438</v>
      </c>
      <c r="BD44" s="140">
        <f t="shared" si="2"/>
        <v>3758.0467674590345</v>
      </c>
      <c r="BK44" s="140">
        <f t="shared" si="3"/>
        <v>378.48</v>
      </c>
      <c r="ER44" s="676">
        <f t="shared" si="4"/>
        <v>1.6333333333333329</v>
      </c>
    </row>
    <row r="45" spans="46:148" ht="15.75" hidden="1">
      <c r="AT45" s="140">
        <f t="shared" si="1"/>
        <v>376578.83438</v>
      </c>
      <c r="BD45" s="140">
        <f t="shared" si="2"/>
        <v>3758.0467674590345</v>
      </c>
      <c r="BK45" s="140">
        <f t="shared" si="3"/>
        <v>378.48</v>
      </c>
      <c r="ER45" s="676">
        <f t="shared" si="4"/>
        <v>1.6333333333333329</v>
      </c>
    </row>
    <row r="46" spans="46:148" ht="15.75" hidden="1">
      <c r="AT46" s="140">
        <f t="shared" si="1"/>
        <v>376578.83438</v>
      </c>
      <c r="BD46" s="140">
        <f t="shared" si="2"/>
        <v>3758.0467674590345</v>
      </c>
      <c r="BK46" s="140">
        <f t="shared" si="3"/>
        <v>378.48</v>
      </c>
      <c r="ER46" s="676">
        <f t="shared" si="4"/>
        <v>1.6333333333333329</v>
      </c>
    </row>
    <row r="47" spans="46:148" ht="15.75" hidden="1">
      <c r="AT47" s="140">
        <f t="shared" si="1"/>
        <v>376578.83438</v>
      </c>
      <c r="BD47" s="140">
        <f t="shared" si="2"/>
        <v>3758.0467674590345</v>
      </c>
      <c r="BK47" s="140">
        <f t="shared" si="3"/>
        <v>378.48</v>
      </c>
      <c r="ER47" s="676">
        <f t="shared" si="4"/>
        <v>1.6333333333333329</v>
      </c>
    </row>
    <row r="48" spans="46:148" ht="15.75" hidden="1">
      <c r="AT48" s="140">
        <f t="shared" si="1"/>
        <v>376578.83438</v>
      </c>
      <c r="BD48" s="140">
        <f t="shared" si="2"/>
        <v>3758.0467674590345</v>
      </c>
      <c r="BK48" s="140">
        <f t="shared" si="3"/>
        <v>378.48</v>
      </c>
      <c r="ER48" s="676">
        <f t="shared" si="4"/>
        <v>1.6333333333333329</v>
      </c>
    </row>
    <row r="49" spans="46:148" ht="15.75" hidden="1">
      <c r="AT49" s="140">
        <f t="shared" si="1"/>
        <v>376578.83438</v>
      </c>
      <c r="BD49" s="140">
        <f t="shared" si="2"/>
        <v>3758.0467674590345</v>
      </c>
      <c r="BK49" s="140">
        <f t="shared" si="3"/>
        <v>378.48</v>
      </c>
      <c r="ER49" s="676">
        <f t="shared" si="4"/>
        <v>1.6333333333333329</v>
      </c>
    </row>
    <row r="50" spans="46:148" ht="15.75" hidden="1">
      <c r="AT50" s="140">
        <f t="shared" si="1"/>
        <v>376578.83438</v>
      </c>
      <c r="BD50" s="140">
        <f t="shared" si="2"/>
        <v>3758.0467674590345</v>
      </c>
      <c r="BK50" s="140">
        <f t="shared" si="3"/>
        <v>378.48</v>
      </c>
      <c r="ER50" s="676">
        <f t="shared" si="4"/>
        <v>1.6333333333333329</v>
      </c>
    </row>
    <row r="51" spans="46:148" ht="15.75" hidden="1">
      <c r="AT51" s="140">
        <f t="shared" si="1"/>
        <v>376578.83438</v>
      </c>
      <c r="BD51" s="140">
        <f t="shared" si="2"/>
        <v>3758.0467674590345</v>
      </c>
      <c r="BK51" s="140">
        <f t="shared" si="3"/>
        <v>378.48</v>
      </c>
      <c r="ER51" s="676">
        <f t="shared" si="4"/>
        <v>1.6333333333333329</v>
      </c>
    </row>
    <row r="52" spans="46:148" ht="15.75" hidden="1">
      <c r="AT52" s="140">
        <f t="shared" si="1"/>
        <v>376578.83438</v>
      </c>
      <c r="BD52" s="140">
        <f t="shared" si="2"/>
        <v>3758.0467674590345</v>
      </c>
      <c r="BK52" s="140">
        <f t="shared" si="3"/>
        <v>378.48</v>
      </c>
      <c r="ER52" s="676">
        <f t="shared" si="4"/>
        <v>1.6333333333333329</v>
      </c>
    </row>
    <row r="53" spans="46:148" ht="15.75" hidden="1">
      <c r="AT53" s="140">
        <f t="shared" si="1"/>
        <v>376578.83438</v>
      </c>
      <c r="BD53" s="140">
        <f t="shared" si="2"/>
        <v>3758.0467674590345</v>
      </c>
      <c r="BK53" s="140">
        <f t="shared" si="3"/>
        <v>378.48</v>
      </c>
      <c r="ER53" s="676">
        <f t="shared" si="4"/>
        <v>1.6333333333333329</v>
      </c>
    </row>
    <row r="54" spans="46:148" ht="15.75" hidden="1">
      <c r="AT54" s="140">
        <f t="shared" si="1"/>
        <v>376578.83438</v>
      </c>
      <c r="BD54" s="140">
        <f t="shared" si="2"/>
        <v>3758.0467674590345</v>
      </c>
      <c r="BK54" s="140">
        <f t="shared" si="3"/>
        <v>378.48</v>
      </c>
      <c r="ER54" s="676">
        <f t="shared" si="4"/>
        <v>1.6333333333333329</v>
      </c>
    </row>
    <row r="55" spans="46:148" ht="15.75" hidden="1">
      <c r="AT55" s="140">
        <f t="shared" si="1"/>
        <v>376578.83438</v>
      </c>
      <c r="BD55" s="140">
        <f t="shared" si="2"/>
        <v>3758.0467674590345</v>
      </c>
      <c r="BK55" s="140">
        <f t="shared" si="3"/>
        <v>378.48</v>
      </c>
      <c r="ER55" s="676">
        <f t="shared" si="4"/>
        <v>1.6333333333333329</v>
      </c>
    </row>
    <row r="56" spans="46:148" ht="15.75" hidden="1">
      <c r="AT56" s="140">
        <f t="shared" si="1"/>
        <v>376578.83438</v>
      </c>
      <c r="BD56" s="140">
        <f t="shared" si="2"/>
        <v>3758.0467674590345</v>
      </c>
      <c r="BK56" s="140">
        <f t="shared" si="3"/>
        <v>378.48</v>
      </c>
      <c r="ER56" s="676">
        <f t="shared" si="4"/>
        <v>1.6333333333333329</v>
      </c>
    </row>
    <row r="57" spans="46:148" ht="15.75" hidden="1">
      <c r="AT57" s="140">
        <f t="shared" si="1"/>
        <v>376578.83438</v>
      </c>
      <c r="BD57" s="140">
        <f t="shared" si="2"/>
        <v>3758.0467674590345</v>
      </c>
      <c r="BK57" s="140">
        <f t="shared" si="3"/>
        <v>378.48</v>
      </c>
      <c r="ER57" s="676">
        <f t="shared" si="4"/>
        <v>1.6333333333333329</v>
      </c>
    </row>
    <row r="58" spans="46:148" ht="15.75" hidden="1">
      <c r="AT58" s="140">
        <f t="shared" si="1"/>
        <v>376578.83438</v>
      </c>
      <c r="BD58" s="140">
        <f t="shared" si="2"/>
        <v>3758.0467674590345</v>
      </c>
      <c r="BK58" s="140">
        <f t="shared" si="3"/>
        <v>378.48</v>
      </c>
      <c r="ER58" s="676">
        <f t="shared" si="4"/>
        <v>1.6333333333333329</v>
      </c>
    </row>
    <row r="59" spans="46:148" ht="15.75" hidden="1">
      <c r="AT59" s="140">
        <f t="shared" si="1"/>
        <v>376578.83438</v>
      </c>
      <c r="BD59" s="140">
        <f t="shared" si="2"/>
        <v>3758.0467674590345</v>
      </c>
      <c r="BK59" s="140">
        <f t="shared" si="3"/>
        <v>378.48</v>
      </c>
      <c r="ER59" s="676">
        <f t="shared" si="4"/>
        <v>1.6333333333333329</v>
      </c>
    </row>
    <row r="60" spans="46:148" ht="15.75" hidden="1">
      <c r="AT60" s="140">
        <f t="shared" si="1"/>
        <v>376578.83438</v>
      </c>
      <c r="BD60" s="140">
        <f t="shared" si="2"/>
        <v>3758.0467674590345</v>
      </c>
      <c r="BK60" s="140">
        <f t="shared" si="3"/>
        <v>378.48</v>
      </c>
      <c r="ER60" s="676">
        <f t="shared" si="4"/>
        <v>1.6333333333333329</v>
      </c>
    </row>
    <row r="61" spans="46:148" ht="15.75" hidden="1">
      <c r="AT61" s="140">
        <f t="shared" si="1"/>
        <v>376578.83438</v>
      </c>
      <c r="BD61" s="140">
        <f t="shared" si="2"/>
        <v>3758.0467674590345</v>
      </c>
      <c r="BK61" s="140">
        <f t="shared" si="3"/>
        <v>378.48</v>
      </c>
      <c r="ER61" s="676">
        <f t="shared" si="4"/>
        <v>1.6333333333333329</v>
      </c>
    </row>
    <row r="62" spans="46:148" ht="15.75" hidden="1">
      <c r="AT62" s="140">
        <f t="shared" si="1"/>
        <v>376578.83438</v>
      </c>
      <c r="BD62" s="140">
        <f t="shared" si="2"/>
        <v>3758.0467674590345</v>
      </c>
      <c r="BK62" s="140">
        <f t="shared" si="3"/>
        <v>378.48</v>
      </c>
      <c r="ER62" s="676">
        <f t="shared" si="4"/>
        <v>1.6333333333333329</v>
      </c>
    </row>
    <row r="63" spans="46:148" ht="15.75" hidden="1">
      <c r="AT63" s="140">
        <f t="shared" si="1"/>
        <v>376578.83438</v>
      </c>
      <c r="BD63" s="140">
        <f t="shared" si="2"/>
        <v>3758.0467674590345</v>
      </c>
      <c r="BK63" s="140">
        <f t="shared" si="3"/>
        <v>378.48</v>
      </c>
      <c r="ER63" s="676">
        <f t="shared" si="4"/>
        <v>1.6333333333333329</v>
      </c>
    </row>
    <row r="64" spans="46:63" ht="15.75" hidden="1">
      <c r="AT64" s="140">
        <f t="shared" si="1"/>
        <v>376578.83438</v>
      </c>
      <c r="BD64" s="140">
        <f t="shared" si="2"/>
        <v>3758.0467674590345</v>
      </c>
      <c r="BK64" s="140">
        <f t="shared" si="3"/>
        <v>378.48</v>
      </c>
    </row>
    <row r="65" spans="46:63" ht="15.75" hidden="1">
      <c r="AT65" s="140">
        <f t="shared" si="1"/>
        <v>376578.83438</v>
      </c>
      <c r="BD65" s="140">
        <f t="shared" si="2"/>
        <v>3758.0467674590345</v>
      </c>
      <c r="BK65" s="140">
        <f t="shared" si="3"/>
        <v>378.48</v>
      </c>
    </row>
    <row r="66" spans="46:63" ht="15.75" hidden="1">
      <c r="AT66" s="140">
        <f t="shared" si="1"/>
        <v>376578.83438</v>
      </c>
      <c r="BD66" s="140">
        <f t="shared" si="2"/>
        <v>3758.0467674590345</v>
      </c>
      <c r="BK66" s="140">
        <f t="shared" si="3"/>
        <v>378.48</v>
      </c>
    </row>
    <row r="67" spans="46:63" ht="15.75" hidden="1">
      <c r="AT67" s="140">
        <f t="shared" si="1"/>
        <v>376578.83438</v>
      </c>
      <c r="BD67" s="140">
        <f aca="true" t="shared" si="5" ref="BD67:BD98">BD66</f>
        <v>3758.0467674590345</v>
      </c>
      <c r="BK67" s="140">
        <f aca="true" t="shared" si="6" ref="BK67:BK99">BK66</f>
        <v>378.48</v>
      </c>
    </row>
    <row r="68" spans="46:63" ht="15.75" hidden="1">
      <c r="AT68" s="140">
        <f t="shared" si="1"/>
        <v>376578.83438</v>
      </c>
      <c r="BD68" s="140">
        <f t="shared" si="5"/>
        <v>3758.0467674590345</v>
      </c>
      <c r="BK68" s="140">
        <f t="shared" si="6"/>
        <v>378.48</v>
      </c>
    </row>
    <row r="69" spans="46:63" ht="15.75" hidden="1">
      <c r="AT69" s="140">
        <f t="shared" si="1"/>
        <v>376578.83438</v>
      </c>
      <c r="BD69" s="140">
        <f t="shared" si="5"/>
        <v>3758.0467674590345</v>
      </c>
      <c r="BK69" s="140">
        <f t="shared" si="6"/>
        <v>378.48</v>
      </c>
    </row>
    <row r="70" spans="46:63" ht="15.75" hidden="1">
      <c r="AT70" s="140">
        <f t="shared" si="1"/>
        <v>376578.83438</v>
      </c>
      <c r="BD70" s="140">
        <f t="shared" si="5"/>
        <v>3758.0467674590345</v>
      </c>
      <c r="BK70" s="140">
        <f t="shared" si="6"/>
        <v>378.48</v>
      </c>
    </row>
    <row r="71" spans="46:63" ht="15.75" hidden="1">
      <c r="AT71" s="140">
        <f t="shared" si="1"/>
        <v>376578.83438</v>
      </c>
      <c r="BD71" s="140">
        <f t="shared" si="5"/>
        <v>3758.0467674590345</v>
      </c>
      <c r="BK71" s="140">
        <f t="shared" si="6"/>
        <v>378.48</v>
      </c>
    </row>
    <row r="72" spans="46:63" ht="15.75" hidden="1">
      <c r="AT72" s="140">
        <f t="shared" si="1"/>
        <v>376578.83438</v>
      </c>
      <c r="BD72" s="140">
        <f t="shared" si="5"/>
        <v>3758.0467674590345</v>
      </c>
      <c r="BK72" s="140">
        <f t="shared" si="6"/>
        <v>378.48</v>
      </c>
    </row>
    <row r="73" spans="46:63" ht="15.75" hidden="1">
      <c r="AT73" s="140">
        <f t="shared" si="1"/>
        <v>376578.83438</v>
      </c>
      <c r="BD73" s="140">
        <f t="shared" si="5"/>
        <v>3758.0467674590345</v>
      </c>
      <c r="BK73" s="140">
        <f t="shared" si="6"/>
        <v>378.48</v>
      </c>
    </row>
    <row r="74" spans="46:63" ht="15.75" hidden="1">
      <c r="AT74" s="140">
        <f t="shared" si="1"/>
        <v>376578.83438</v>
      </c>
      <c r="BD74" s="140">
        <f t="shared" si="5"/>
        <v>3758.0467674590345</v>
      </c>
      <c r="BK74" s="140">
        <f t="shared" si="6"/>
        <v>378.48</v>
      </c>
    </row>
    <row r="75" spans="46:63" ht="15.75" hidden="1">
      <c r="AT75" s="140">
        <f t="shared" si="1"/>
        <v>376578.83438</v>
      </c>
      <c r="BD75" s="140">
        <f t="shared" si="5"/>
        <v>3758.0467674590345</v>
      </c>
      <c r="BK75" s="140">
        <f t="shared" si="6"/>
        <v>378.48</v>
      </c>
    </row>
    <row r="76" spans="46:63" ht="15.75" hidden="1">
      <c r="AT76" s="140">
        <f t="shared" si="1"/>
        <v>376578.83438</v>
      </c>
      <c r="BD76" s="140">
        <f t="shared" si="5"/>
        <v>3758.0467674590345</v>
      </c>
      <c r="BK76" s="140">
        <f t="shared" si="6"/>
        <v>378.48</v>
      </c>
    </row>
    <row r="77" spans="46:63" ht="15.75" hidden="1">
      <c r="AT77" s="140">
        <f t="shared" si="1"/>
        <v>376578.83438</v>
      </c>
      <c r="BD77" s="140">
        <f t="shared" si="5"/>
        <v>3758.0467674590345</v>
      </c>
      <c r="BK77" s="140">
        <f t="shared" si="6"/>
        <v>378.48</v>
      </c>
    </row>
    <row r="78" spans="46:63" ht="15.75" hidden="1">
      <c r="AT78" s="140">
        <f t="shared" si="1"/>
        <v>376578.83438</v>
      </c>
      <c r="BD78" s="140">
        <f t="shared" si="5"/>
        <v>3758.0467674590345</v>
      </c>
      <c r="BK78" s="140">
        <f t="shared" si="6"/>
        <v>378.48</v>
      </c>
    </row>
    <row r="79" spans="46:63" ht="15.75" hidden="1">
      <c r="AT79" s="140">
        <f t="shared" si="1"/>
        <v>376578.83438</v>
      </c>
      <c r="BD79" s="140">
        <f t="shared" si="5"/>
        <v>3758.0467674590345</v>
      </c>
      <c r="BK79" s="140">
        <f t="shared" si="6"/>
        <v>378.48</v>
      </c>
    </row>
    <row r="80" spans="56:63" ht="15.75" hidden="1">
      <c r="BD80" s="140">
        <f t="shared" si="5"/>
        <v>3758.0467674590345</v>
      </c>
      <c r="BK80" s="140">
        <f t="shared" si="6"/>
        <v>378.48</v>
      </c>
    </row>
    <row r="81" spans="56:63" ht="15.75" hidden="1">
      <c r="BD81" s="140">
        <f t="shared" si="5"/>
        <v>3758.0467674590345</v>
      </c>
      <c r="BK81" s="140">
        <f t="shared" si="6"/>
        <v>378.48</v>
      </c>
    </row>
    <row r="82" spans="56:63" ht="15.75" hidden="1">
      <c r="BD82" s="140">
        <f t="shared" si="5"/>
        <v>3758.0467674590345</v>
      </c>
      <c r="BK82" s="140">
        <f t="shared" si="6"/>
        <v>378.48</v>
      </c>
    </row>
    <row r="83" spans="56:63" ht="15.75" hidden="1">
      <c r="BD83" s="140">
        <f t="shared" si="5"/>
        <v>3758.0467674590345</v>
      </c>
      <c r="BK83" s="140">
        <f t="shared" si="6"/>
        <v>378.48</v>
      </c>
    </row>
    <row r="84" spans="56:63" ht="15.75" hidden="1">
      <c r="BD84" s="140">
        <f t="shared" si="5"/>
        <v>3758.0467674590345</v>
      </c>
      <c r="BK84" s="140">
        <f t="shared" si="6"/>
        <v>378.48</v>
      </c>
    </row>
    <row r="85" spans="56:63" ht="15.75" hidden="1">
      <c r="BD85" s="140">
        <f t="shared" si="5"/>
        <v>3758.0467674590345</v>
      </c>
      <c r="BK85" s="140">
        <f t="shared" si="6"/>
        <v>378.48</v>
      </c>
    </row>
    <row r="86" spans="56:63" ht="15.75" hidden="1">
      <c r="BD86" s="140">
        <f t="shared" si="5"/>
        <v>3758.0467674590345</v>
      </c>
      <c r="BK86" s="140">
        <f t="shared" si="6"/>
        <v>378.48</v>
      </c>
    </row>
    <row r="87" spans="56:63" ht="15.75">
      <c r="BD87" s="140">
        <f t="shared" si="5"/>
        <v>3758.0467674590345</v>
      </c>
      <c r="BK87" s="140">
        <f t="shared" si="6"/>
        <v>378.48</v>
      </c>
    </row>
    <row r="88" spans="56:63" ht="15.75">
      <c r="BD88" s="140">
        <f t="shared" si="5"/>
        <v>3758.0467674590345</v>
      </c>
      <c r="BK88" s="140">
        <f t="shared" si="6"/>
        <v>378.48</v>
      </c>
    </row>
    <row r="89" spans="56:63" ht="15.75">
      <c r="BD89" s="140">
        <f t="shared" si="5"/>
        <v>3758.0467674590345</v>
      </c>
      <c r="BK89" s="140">
        <f t="shared" si="6"/>
        <v>378.48</v>
      </c>
    </row>
    <row r="90" spans="56:63" ht="15.75">
      <c r="BD90" s="140">
        <f t="shared" si="5"/>
        <v>3758.0467674590345</v>
      </c>
      <c r="BK90" s="140">
        <f t="shared" si="6"/>
        <v>378.48</v>
      </c>
    </row>
    <row r="91" spans="56:63" ht="15.75">
      <c r="BD91" s="140">
        <f t="shared" si="5"/>
        <v>3758.0467674590345</v>
      </c>
      <c r="BK91" s="140">
        <f t="shared" si="6"/>
        <v>378.48</v>
      </c>
    </row>
    <row r="92" spans="56:63" ht="15.75">
      <c r="BD92" s="140">
        <f t="shared" si="5"/>
        <v>3758.0467674590345</v>
      </c>
      <c r="BK92" s="140">
        <f t="shared" si="6"/>
        <v>378.48</v>
      </c>
    </row>
    <row r="93" spans="56:63" ht="15.75">
      <c r="BD93" s="140">
        <f t="shared" si="5"/>
        <v>3758.0467674590345</v>
      </c>
      <c r="BK93" s="140">
        <f t="shared" si="6"/>
        <v>378.48</v>
      </c>
    </row>
    <row r="94" spans="56:63" ht="15.75">
      <c r="BD94" s="140">
        <f t="shared" si="5"/>
        <v>3758.0467674590345</v>
      </c>
      <c r="BK94" s="140">
        <f t="shared" si="6"/>
        <v>378.48</v>
      </c>
    </row>
    <row r="95" spans="56:63" ht="15.75">
      <c r="BD95" s="140">
        <f t="shared" si="5"/>
        <v>3758.0467674590345</v>
      </c>
      <c r="BK95" s="140">
        <f t="shared" si="6"/>
        <v>378.48</v>
      </c>
    </row>
    <row r="96" spans="56:63" ht="15.75">
      <c r="BD96" s="140">
        <f t="shared" si="5"/>
        <v>3758.0467674590345</v>
      </c>
      <c r="BK96" s="140">
        <f t="shared" si="6"/>
        <v>378.48</v>
      </c>
    </row>
    <row r="97" spans="56:63" ht="15.75">
      <c r="BD97" s="140">
        <f t="shared" si="5"/>
        <v>3758.0467674590345</v>
      </c>
      <c r="BK97" s="140">
        <f t="shared" si="6"/>
        <v>378.48</v>
      </c>
    </row>
    <row r="98" spans="56:63" ht="15.75">
      <c r="BD98" s="140">
        <f t="shared" si="5"/>
        <v>3758.0467674590345</v>
      </c>
      <c r="BK98" s="140">
        <f t="shared" si="6"/>
        <v>378.48</v>
      </c>
    </row>
    <row r="99" spans="56:63" ht="15.75">
      <c r="BD99" s="140">
        <f aca="true" t="shared" si="7" ref="BD99:BD110">BD98</f>
        <v>3758.0467674590345</v>
      </c>
      <c r="BK99" s="140">
        <f t="shared" si="6"/>
        <v>378.48</v>
      </c>
    </row>
    <row r="100" ht="15.75">
      <c r="BD100" s="140">
        <f t="shared" si="7"/>
        <v>3758.0467674590345</v>
      </c>
    </row>
    <row r="101" ht="15.75">
      <c r="BD101" s="140">
        <f t="shared" si="7"/>
        <v>3758.0467674590345</v>
      </c>
    </row>
    <row r="102" ht="15.75">
      <c r="BD102" s="140">
        <f t="shared" si="7"/>
        <v>3758.0467674590345</v>
      </c>
    </row>
    <row r="103" ht="15.75">
      <c r="BD103" s="140">
        <f t="shared" si="7"/>
        <v>3758.0467674590345</v>
      </c>
    </row>
    <row r="104" ht="15.75">
      <c r="BD104" s="140">
        <f t="shared" si="7"/>
        <v>3758.0467674590345</v>
      </c>
    </row>
    <row r="105" ht="15.75">
      <c r="BD105" s="140">
        <f t="shared" si="7"/>
        <v>3758.0467674590345</v>
      </c>
    </row>
    <row r="106" ht="15.75">
      <c r="BD106" s="140">
        <f t="shared" si="7"/>
        <v>3758.0467674590345</v>
      </c>
    </row>
    <row r="107" ht="15.75">
      <c r="BD107" s="140">
        <f t="shared" si="7"/>
        <v>3758.0467674590345</v>
      </c>
    </row>
    <row r="108" ht="15.75">
      <c r="BD108" s="140">
        <f t="shared" si="7"/>
        <v>3758.0467674590345</v>
      </c>
    </row>
    <row r="109" ht="15.75">
      <c r="BD109" s="140">
        <f t="shared" si="7"/>
        <v>3758.0467674590345</v>
      </c>
    </row>
    <row r="110" ht="15.75">
      <c r="BD110" s="140">
        <f t="shared" si="7"/>
        <v>3758.0467674590345</v>
      </c>
    </row>
  </sheetData>
  <sheetProtection/>
  <mergeCells count="185">
    <mergeCell ref="DR4:DS6"/>
    <mergeCell ref="DR7:DS7"/>
    <mergeCell ref="DT4:DU6"/>
    <mergeCell ref="DT7:DU7"/>
    <mergeCell ref="BA8:BA9"/>
    <mergeCell ref="AP8:AP9"/>
    <mergeCell ref="AT8:AT9"/>
    <mergeCell ref="BL8:BL9"/>
    <mergeCell ref="AS8:AS9"/>
    <mergeCell ref="BD8:BD9"/>
    <mergeCell ref="EN4:EO6"/>
    <mergeCell ref="EN7:EO7"/>
    <mergeCell ref="EN8:EN9"/>
    <mergeCell ref="EO8:EO9"/>
    <mergeCell ref="BJ4:BM6"/>
    <mergeCell ref="BJ7:BM7"/>
    <mergeCell ref="AX4:BB6"/>
    <mergeCell ref="AX7:BB7"/>
    <mergeCell ref="BV7:BW7"/>
    <mergeCell ref="AE4:AI6"/>
    <mergeCell ref="BN4:BR6"/>
    <mergeCell ref="BN7:BR7"/>
    <mergeCell ref="BC7:BF7"/>
    <mergeCell ref="AE7:AI7"/>
    <mergeCell ref="BS4:BU6"/>
    <mergeCell ref="BV4:BW6"/>
    <mergeCell ref="AJ4:AM6"/>
    <mergeCell ref="AJ7:AM7"/>
    <mergeCell ref="C8:C9"/>
    <mergeCell ref="D8:D9"/>
    <mergeCell ref="C7:D7"/>
    <mergeCell ref="E7:F7"/>
    <mergeCell ref="G4:J6"/>
    <mergeCell ref="AA4:AD6"/>
    <mergeCell ref="S4:V6"/>
    <mergeCell ref="BC4:BF6"/>
    <mergeCell ref="AN4:AQ6"/>
    <mergeCell ref="AT4:AW6"/>
    <mergeCell ref="W4:Z6"/>
    <mergeCell ref="AH8:AH9"/>
    <mergeCell ref="AF8:AF9"/>
    <mergeCell ref="S8:S9"/>
    <mergeCell ref="AB8:AB9"/>
    <mergeCell ref="AA8:AA9"/>
    <mergeCell ref="T8:T9"/>
    <mergeCell ref="U8:U9"/>
    <mergeCell ref="BR8:BR9"/>
    <mergeCell ref="BQ8:BQ9"/>
    <mergeCell ref="BP8:BP9"/>
    <mergeCell ref="S7:V7"/>
    <mergeCell ref="AA7:AD7"/>
    <mergeCell ref="AN7:AQ7"/>
    <mergeCell ref="AT7:AW7"/>
    <mergeCell ref="AN8:AN9"/>
    <mergeCell ref="AQ8:AQ9"/>
    <mergeCell ref="AU8:AU9"/>
    <mergeCell ref="EP4:ES7"/>
    <mergeCell ref="EP8:EP9"/>
    <mergeCell ref="EQ8:EQ9"/>
    <mergeCell ref="ES8:ES9"/>
    <mergeCell ref="ER8:ER9"/>
    <mergeCell ref="AV8:AV9"/>
    <mergeCell ref="AX8:AX9"/>
    <mergeCell ref="BX7:CM7"/>
    <mergeCell ref="BC8:BC9"/>
    <mergeCell ref="CF8:CG8"/>
    <mergeCell ref="CH8:CI8"/>
    <mergeCell ref="CJ8:CK8"/>
    <mergeCell ref="CD8:CE8"/>
    <mergeCell ref="BS7:BU7"/>
    <mergeCell ref="BW8:BW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A4:A9"/>
    <mergeCell ref="B4:B9"/>
    <mergeCell ref="K4:N6"/>
    <mergeCell ref="O4:R6"/>
    <mergeCell ref="K7:N7"/>
    <mergeCell ref="R8:R9"/>
    <mergeCell ref="E8:E9"/>
    <mergeCell ref="F8:F9"/>
    <mergeCell ref="C4:D6"/>
    <mergeCell ref="E4:F6"/>
    <mergeCell ref="V8:V9"/>
    <mergeCell ref="W7:Z7"/>
    <mergeCell ref="Z8:Z9"/>
    <mergeCell ref="Y8:Y9"/>
    <mergeCell ref="X8:X9"/>
    <mergeCell ref="W8:W9"/>
    <mergeCell ref="O7:R7"/>
    <mergeCell ref="O8:O9"/>
    <mergeCell ref="G7:J7"/>
    <mergeCell ref="G8:G9"/>
    <mergeCell ref="H8:H9"/>
    <mergeCell ref="I8:I9"/>
    <mergeCell ref="P8:P9"/>
    <mergeCell ref="Q8:Q9"/>
    <mergeCell ref="J8:J9"/>
    <mergeCell ref="L8:L9"/>
    <mergeCell ref="M8:M9"/>
    <mergeCell ref="N8:N9"/>
    <mergeCell ref="K8:K9"/>
    <mergeCell ref="BX8:BY8"/>
    <mergeCell ref="AO8:AO9"/>
    <mergeCell ref="BM8:BM9"/>
    <mergeCell ref="BJ8:BJ9"/>
    <mergeCell ref="BS8:BS9"/>
    <mergeCell ref="BT8:BT9"/>
    <mergeCell ref="AY8:AZ8"/>
    <mergeCell ref="AW8:AW9"/>
    <mergeCell ref="BB8:BB9"/>
    <mergeCell ref="BF8:BF9"/>
    <mergeCell ref="BZ8:CA8"/>
    <mergeCell ref="BE8:BE9"/>
    <mergeCell ref="BN8:BN9"/>
    <mergeCell ref="BK8:BK9"/>
    <mergeCell ref="BO8:BO9"/>
    <mergeCell ref="BU8:BU9"/>
    <mergeCell ref="BV8:BV9"/>
    <mergeCell ref="CB8:CC8"/>
    <mergeCell ref="DB8:DC8"/>
    <mergeCell ref="DH8:DI8"/>
    <mergeCell ref="DD8:DE8"/>
    <mergeCell ref="DF8:DG8"/>
    <mergeCell ref="CL8:CM8"/>
    <mergeCell ref="CN8:CO8"/>
    <mergeCell ref="CR8:CS8"/>
    <mergeCell ref="DD7:DO7"/>
    <mergeCell ref="CP8:CQ8"/>
    <mergeCell ref="DN8:DO8"/>
    <mergeCell ref="DJ8:DK8"/>
    <mergeCell ref="CV8:CW8"/>
    <mergeCell ref="CX8:CY8"/>
    <mergeCell ref="CZ8:DA8"/>
    <mergeCell ref="DP8:DP9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DY4:EA6"/>
    <mergeCell ref="DY7:EA7"/>
    <mergeCell ref="DV8:DV9"/>
    <mergeCell ref="DW8:DW9"/>
    <mergeCell ref="DZ8:DZ9"/>
    <mergeCell ref="DV4:DX6"/>
    <mergeCell ref="DV7:DX7"/>
    <mergeCell ref="EA8:EA9"/>
    <mergeCell ref="EC8:EC9"/>
    <mergeCell ref="EF8:EF9"/>
    <mergeCell ref="EE4:EG6"/>
    <mergeCell ref="EE7:EG7"/>
    <mergeCell ref="EE8:EE9"/>
    <mergeCell ref="EG8:EG9"/>
    <mergeCell ref="EH8:EH9"/>
    <mergeCell ref="EH4:EJ6"/>
    <mergeCell ref="EJ8:EJ9"/>
    <mergeCell ref="EI8:EI9"/>
    <mergeCell ref="ED8:ED9"/>
    <mergeCell ref="EB8:EB9"/>
    <mergeCell ref="EM8:EM9"/>
    <mergeCell ref="EK4:EM6"/>
    <mergeCell ref="EK7:EM7"/>
    <mergeCell ref="EK8:EK9"/>
    <mergeCell ref="EL8:EL9"/>
    <mergeCell ref="EB4:ED6"/>
    <mergeCell ref="EB7:ED7"/>
    <mergeCell ref="EH7:EJ7"/>
    <mergeCell ref="DR8:DR9"/>
    <mergeCell ref="DT8:DT9"/>
    <mergeCell ref="DX8:DX9"/>
    <mergeCell ref="DY8:DY9"/>
    <mergeCell ref="DS8:DS9"/>
    <mergeCell ref="DU8:DU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7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1 полугодие 2014 года
</oddHeader>
  </headerFooter>
  <colBreaks count="4" manualBreakCount="4">
    <brk id="19" max="33" man="1"/>
    <brk id="28" max="33" man="1"/>
    <brk id="123" max="33" man="1"/>
    <brk id="145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24"/>
  <sheetViews>
    <sheetView zoomScale="80" zoomScaleNormal="80" zoomScaleSheetLayoutView="75" zoomScalePageLayoutView="0" workbookViewId="0" topLeftCell="A1">
      <pane xSplit="1" ySplit="8" topLeftCell="G15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N34" sqref="N34"/>
    </sheetView>
  </sheetViews>
  <sheetFormatPr defaultColWidth="9.00390625" defaultRowHeight="12.75"/>
  <cols>
    <col min="1" max="1" width="39.125" style="650" customWidth="1"/>
    <col min="2" max="2" width="13.375" style="651" hidden="1" customWidth="1"/>
    <col min="3" max="3" width="17.875" style="651" hidden="1" customWidth="1"/>
    <col min="4" max="4" width="15.625" style="651" hidden="1" customWidth="1"/>
    <col min="5" max="5" width="14.375" style="651" hidden="1" customWidth="1"/>
    <col min="6" max="6" width="14.75390625" style="651" hidden="1" customWidth="1"/>
    <col min="7" max="7" width="0.12890625" style="651" customWidth="1"/>
    <col min="8" max="8" width="16.25390625" style="652" customWidth="1"/>
    <col min="9" max="9" width="13.125" style="652" customWidth="1"/>
    <col min="10" max="10" width="7.875" style="651" hidden="1" customWidth="1"/>
    <col min="11" max="11" width="15.00390625" style="652" customWidth="1"/>
    <col min="12" max="12" width="13.375" style="652" customWidth="1"/>
    <col min="13" max="13" width="15.375" style="651" hidden="1" customWidth="1"/>
    <col min="14" max="14" width="15.625" style="654" customWidth="1"/>
    <col min="15" max="15" width="15.00390625" style="654" customWidth="1"/>
    <col min="16" max="16" width="14.125" style="651" hidden="1" customWidth="1"/>
    <col min="17" max="18" width="14.375" style="652" customWidth="1"/>
    <col min="19" max="19" width="14.375" style="651" hidden="1" customWidth="1"/>
    <col min="20" max="20" width="12.75390625" style="672" customWidth="1"/>
    <col min="21" max="21" width="14.375" style="651" customWidth="1"/>
    <col min="22" max="22" width="14.375" style="651" hidden="1" customWidth="1"/>
    <col min="23" max="24" width="14.375" style="651" customWidth="1"/>
    <col min="25" max="25" width="14.375" style="651" hidden="1" customWidth="1"/>
    <col min="26" max="27" width="14.375" style="652" customWidth="1"/>
    <col min="28" max="28" width="13.875" style="651" hidden="1" customWidth="1"/>
    <col min="29" max="29" width="17.375" style="674" hidden="1" customWidth="1"/>
    <col min="30" max="30" width="14.375" style="674" hidden="1" customWidth="1"/>
    <col min="31" max="31" width="24.375" style="652" customWidth="1"/>
    <col min="32" max="32" width="24.125" style="652" customWidth="1"/>
    <col min="33" max="33" width="0.2421875" style="652" customWidth="1"/>
    <col min="34" max="34" width="19.625" style="652" hidden="1" customWidth="1"/>
    <col min="35" max="35" width="15.75390625" style="652" customWidth="1"/>
    <col min="36" max="36" width="21.375" style="652" customWidth="1"/>
    <col min="37" max="37" width="22.125" style="654" customWidth="1"/>
    <col min="38" max="38" width="23.375" style="654" customWidth="1"/>
    <col min="39" max="39" width="19.375" style="652" hidden="1" customWidth="1"/>
    <col min="40" max="40" width="14.875" style="652" hidden="1" customWidth="1"/>
    <col min="41" max="41" width="19.25390625" style="669" customWidth="1"/>
    <col min="42" max="42" width="19.375" style="669" customWidth="1"/>
    <col min="43" max="43" width="19.875" style="669" customWidth="1"/>
    <col min="44" max="44" width="20.00390625" style="669" customWidth="1"/>
    <col min="45" max="46" width="13.875" style="669" hidden="1" customWidth="1"/>
    <col min="47" max="47" width="13.625" style="605" hidden="1" customWidth="1"/>
    <col min="48" max="48" width="13.875" style="605" hidden="1" customWidth="1"/>
    <col min="49" max="49" width="13.625" style="605" hidden="1" customWidth="1"/>
    <col min="50" max="51" width="13.875" style="605" hidden="1" customWidth="1"/>
    <col min="52" max="52" width="24.25390625" style="605" hidden="1" customWidth="1"/>
    <col min="53" max="55" width="13.875" style="605" hidden="1" customWidth="1"/>
    <col min="56" max="57" width="18.125" style="605" hidden="1" customWidth="1"/>
    <col min="58" max="58" width="16.875" style="605" hidden="1" customWidth="1"/>
    <col min="59" max="60" width="24.625" style="605" hidden="1" customWidth="1"/>
    <col min="61" max="61" width="26.875" style="605" hidden="1" customWidth="1"/>
    <col min="62" max="62" width="24.75390625" style="605" hidden="1" customWidth="1"/>
    <col min="63" max="63" width="26.75390625" style="605" hidden="1" customWidth="1"/>
    <col min="64" max="64" width="30.25390625" style="605" hidden="1" customWidth="1"/>
    <col min="65" max="65" width="29.125" style="605" hidden="1" customWidth="1"/>
    <col min="66" max="66" width="31.00390625" style="605" hidden="1" customWidth="1"/>
    <col min="67" max="67" width="15.75390625" style="605" customWidth="1"/>
    <col min="68" max="16384" width="9.125" style="605" customWidth="1"/>
  </cols>
  <sheetData>
    <row r="1" spans="1:46" s="442" customFormat="1" ht="2.25" customHeight="1">
      <c r="A1" s="975"/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439"/>
      <c r="AF1" s="439"/>
      <c r="AG1" s="439"/>
      <c r="AH1" s="439"/>
      <c r="AI1" s="439"/>
      <c r="AJ1" s="439"/>
      <c r="AK1" s="440"/>
      <c r="AL1" s="440"/>
      <c r="AM1" s="439"/>
      <c r="AN1" s="439"/>
      <c r="AO1" s="441"/>
      <c r="AP1" s="441"/>
      <c r="AQ1" s="441"/>
      <c r="AR1" s="441"/>
      <c r="AS1" s="441"/>
      <c r="AT1" s="441"/>
    </row>
    <row r="2" spans="1:46" s="449" customFormat="1" ht="36.75" customHeight="1" thickBot="1">
      <c r="A2" s="443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5"/>
      <c r="O2" s="445"/>
      <c r="P2" s="444"/>
      <c r="Q2" s="444"/>
      <c r="R2" s="444"/>
      <c r="S2" s="444"/>
      <c r="T2" s="445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6"/>
      <c r="AF2" s="446"/>
      <c r="AG2" s="446"/>
      <c r="AH2" s="446"/>
      <c r="AI2" s="446"/>
      <c r="AJ2" s="446"/>
      <c r="AK2" s="447"/>
      <c r="AL2" s="447"/>
      <c r="AM2" s="446"/>
      <c r="AN2" s="446"/>
      <c r="AO2" s="448"/>
      <c r="AP2" s="448"/>
      <c r="AQ2" s="448"/>
      <c r="AR2" s="448"/>
      <c r="AS2" s="448"/>
      <c r="AT2" s="448"/>
    </row>
    <row r="3" spans="1:66" s="457" customFormat="1" ht="19.5" customHeight="1">
      <c r="A3" s="976" t="s">
        <v>172</v>
      </c>
      <c r="B3" s="450"/>
      <c r="C3" s="450"/>
      <c r="D3" s="978" t="s">
        <v>173</v>
      </c>
      <c r="E3" s="450"/>
      <c r="F3" s="978" t="s">
        <v>174</v>
      </c>
      <c r="G3" s="978" t="s">
        <v>175</v>
      </c>
      <c r="H3" s="981" t="s">
        <v>176</v>
      </c>
      <c r="I3" s="981"/>
      <c r="J3" s="982"/>
      <c r="K3" s="451" t="s">
        <v>177</v>
      </c>
      <c r="L3" s="452"/>
      <c r="M3" s="452"/>
      <c r="N3" s="453"/>
      <c r="O3" s="453"/>
      <c r="P3" s="452"/>
      <c r="Q3" s="452"/>
      <c r="R3" s="452"/>
      <c r="S3" s="452"/>
      <c r="T3" s="453"/>
      <c r="U3" s="452"/>
      <c r="V3" s="452"/>
      <c r="W3" s="452"/>
      <c r="X3" s="452"/>
      <c r="Y3" s="452"/>
      <c r="Z3" s="452"/>
      <c r="AA3" s="452"/>
      <c r="AB3" s="454"/>
      <c r="AC3" s="985" t="s">
        <v>178</v>
      </c>
      <c r="AD3" s="986"/>
      <c r="AE3" s="961" t="s">
        <v>179</v>
      </c>
      <c r="AF3" s="991" t="s">
        <v>180</v>
      </c>
      <c r="AG3" s="994" t="s">
        <v>181</v>
      </c>
      <c r="AH3" s="995"/>
      <c r="AI3" s="995"/>
      <c r="AJ3" s="995"/>
      <c r="AK3" s="995"/>
      <c r="AL3" s="995"/>
      <c r="AM3" s="995"/>
      <c r="AN3" s="995"/>
      <c r="AO3" s="996" t="s">
        <v>182</v>
      </c>
      <c r="AP3" s="997"/>
      <c r="AQ3" s="997"/>
      <c r="AR3" s="997"/>
      <c r="AS3" s="997"/>
      <c r="AT3" s="997"/>
      <c r="AU3" s="997"/>
      <c r="AV3" s="1002" t="s">
        <v>183</v>
      </c>
      <c r="AW3" s="1003"/>
      <c r="AX3" s="1003"/>
      <c r="AY3" s="1004"/>
      <c r="AZ3" s="455"/>
      <c r="BA3" s="455"/>
      <c r="BB3" s="456"/>
      <c r="BC3" s="456"/>
      <c r="BD3" s="964" t="s">
        <v>184</v>
      </c>
      <c r="BE3" s="964"/>
      <c r="BF3" s="964"/>
      <c r="BG3" s="964"/>
      <c r="BH3" s="1012" t="s">
        <v>185</v>
      </c>
      <c r="BI3" s="1003"/>
      <c r="BJ3" s="1003"/>
      <c r="BK3" s="1003"/>
      <c r="BL3" s="1003"/>
      <c r="BM3" s="1003"/>
      <c r="BN3" s="1013"/>
    </row>
    <row r="4" spans="1:66" s="468" customFormat="1" ht="12.75" customHeight="1">
      <c r="A4" s="977"/>
      <c r="B4" s="458"/>
      <c r="C4" s="458"/>
      <c r="D4" s="979"/>
      <c r="E4" s="458"/>
      <c r="F4" s="980"/>
      <c r="G4" s="980"/>
      <c r="H4" s="983"/>
      <c r="I4" s="983"/>
      <c r="J4" s="984"/>
      <c r="K4" s="459"/>
      <c r="L4" s="460"/>
      <c r="M4" s="460"/>
      <c r="N4" s="461"/>
      <c r="O4" s="461"/>
      <c r="P4" s="460"/>
      <c r="Q4" s="460"/>
      <c r="R4" s="460"/>
      <c r="S4" s="460"/>
      <c r="T4" s="461"/>
      <c r="U4" s="460"/>
      <c r="V4" s="460"/>
      <c r="W4" s="460"/>
      <c r="X4" s="460"/>
      <c r="Y4" s="460"/>
      <c r="Z4" s="460"/>
      <c r="AA4" s="460"/>
      <c r="AB4" s="462"/>
      <c r="AC4" s="987"/>
      <c r="AD4" s="988"/>
      <c r="AE4" s="962"/>
      <c r="AF4" s="992"/>
      <c r="AG4" s="994"/>
      <c r="AH4" s="995"/>
      <c r="AI4" s="995"/>
      <c r="AJ4" s="995"/>
      <c r="AK4" s="995"/>
      <c r="AL4" s="995"/>
      <c r="AM4" s="995"/>
      <c r="AN4" s="995"/>
      <c r="AO4" s="998"/>
      <c r="AP4" s="999"/>
      <c r="AQ4" s="999"/>
      <c r="AR4" s="999"/>
      <c r="AS4" s="999"/>
      <c r="AT4" s="999"/>
      <c r="AU4" s="999"/>
      <c r="AV4" s="1005"/>
      <c r="AW4" s="1006"/>
      <c r="AX4" s="1006"/>
      <c r="AY4" s="1007"/>
      <c r="AZ4" s="465"/>
      <c r="BA4" s="465"/>
      <c r="BB4" s="466"/>
      <c r="BC4" s="466"/>
      <c r="BD4" s="965"/>
      <c r="BE4" s="965"/>
      <c r="BF4" s="965"/>
      <c r="BG4" s="965"/>
      <c r="BH4" s="1014"/>
      <c r="BI4" s="1006"/>
      <c r="BJ4" s="1006"/>
      <c r="BK4" s="1006"/>
      <c r="BL4" s="1006"/>
      <c r="BM4" s="1006"/>
      <c r="BN4" s="1015"/>
    </row>
    <row r="5" spans="1:66" s="472" customFormat="1" ht="109.5" customHeight="1" thickBot="1">
      <c r="A5" s="977"/>
      <c r="B5" s="469" t="s">
        <v>186</v>
      </c>
      <c r="C5" s="469" t="s">
        <v>187</v>
      </c>
      <c r="D5" s="469" t="s">
        <v>186</v>
      </c>
      <c r="E5" s="1018" t="s">
        <v>187</v>
      </c>
      <c r="F5" s="980"/>
      <c r="G5" s="980"/>
      <c r="H5" s="983"/>
      <c r="I5" s="983"/>
      <c r="J5" s="984"/>
      <c r="K5" s="1019" t="s">
        <v>188</v>
      </c>
      <c r="L5" s="983"/>
      <c r="M5" s="983"/>
      <c r="N5" s="983" t="s">
        <v>189</v>
      </c>
      <c r="O5" s="983"/>
      <c r="P5" s="983"/>
      <c r="Q5" s="983" t="s">
        <v>190</v>
      </c>
      <c r="R5" s="983"/>
      <c r="S5" s="983"/>
      <c r="T5" s="983" t="s">
        <v>191</v>
      </c>
      <c r="U5" s="983"/>
      <c r="V5" s="1020"/>
      <c r="W5" s="983" t="s">
        <v>192</v>
      </c>
      <c r="X5" s="983"/>
      <c r="Y5" s="1020"/>
      <c r="Z5" s="983" t="s">
        <v>193</v>
      </c>
      <c r="AA5" s="983"/>
      <c r="AB5" s="1020"/>
      <c r="AC5" s="987"/>
      <c r="AD5" s="988"/>
      <c r="AE5" s="962"/>
      <c r="AF5" s="993"/>
      <c r="AG5" s="994"/>
      <c r="AH5" s="995"/>
      <c r="AI5" s="995"/>
      <c r="AJ5" s="995"/>
      <c r="AK5" s="995"/>
      <c r="AL5" s="995"/>
      <c r="AM5" s="995"/>
      <c r="AN5" s="995"/>
      <c r="AO5" s="1000"/>
      <c r="AP5" s="1001"/>
      <c r="AQ5" s="1001"/>
      <c r="AR5" s="1001"/>
      <c r="AS5" s="1001"/>
      <c r="AT5" s="1001"/>
      <c r="AU5" s="1001"/>
      <c r="AV5" s="1008"/>
      <c r="AW5" s="1009"/>
      <c r="AX5" s="1009"/>
      <c r="AY5" s="1010"/>
      <c r="AZ5" s="470"/>
      <c r="BA5" s="470"/>
      <c r="BB5" s="471"/>
      <c r="BC5" s="471"/>
      <c r="BD5" s="965"/>
      <c r="BE5" s="965"/>
      <c r="BF5" s="965"/>
      <c r="BG5" s="965"/>
      <c r="BH5" s="1016"/>
      <c r="BI5" s="1009"/>
      <c r="BJ5" s="1009"/>
      <c r="BK5" s="1009"/>
      <c r="BL5" s="1009"/>
      <c r="BM5" s="1009"/>
      <c r="BN5" s="1017"/>
    </row>
    <row r="6" spans="1:66" s="472" customFormat="1" ht="101.25" customHeight="1" thickBot="1">
      <c r="A6" s="977"/>
      <c r="B6" s="473">
        <v>2010</v>
      </c>
      <c r="C6" s="473"/>
      <c r="D6" s="989">
        <v>2013</v>
      </c>
      <c r="E6" s="990"/>
      <c r="F6" s="980"/>
      <c r="G6" s="979"/>
      <c r="H6" s="983"/>
      <c r="I6" s="983"/>
      <c r="J6" s="984"/>
      <c r="K6" s="1019"/>
      <c r="L6" s="983"/>
      <c r="M6" s="983"/>
      <c r="N6" s="983" t="s">
        <v>194</v>
      </c>
      <c r="O6" s="983"/>
      <c r="P6" s="983"/>
      <c r="Q6" s="983"/>
      <c r="R6" s="983"/>
      <c r="S6" s="983"/>
      <c r="T6" s="983"/>
      <c r="U6" s="983"/>
      <c r="V6" s="1020"/>
      <c r="W6" s="983"/>
      <c r="X6" s="983"/>
      <c r="Y6" s="1020"/>
      <c r="Z6" s="983"/>
      <c r="AA6" s="983"/>
      <c r="AB6" s="1020"/>
      <c r="AC6" s="987"/>
      <c r="AD6" s="988"/>
      <c r="AE6" s="962"/>
      <c r="AF6" s="474" t="s">
        <v>195</v>
      </c>
      <c r="AG6" s="475" t="s">
        <v>186</v>
      </c>
      <c r="AH6" s="476" t="s">
        <v>187</v>
      </c>
      <c r="AI6" s="477" t="s">
        <v>32</v>
      </c>
      <c r="AJ6" s="478" t="s">
        <v>196</v>
      </c>
      <c r="AK6" s="478" t="s">
        <v>197</v>
      </c>
      <c r="AL6" s="479" t="s">
        <v>198</v>
      </c>
      <c r="AM6" s="480" t="s">
        <v>197</v>
      </c>
      <c r="AN6" s="481" t="s">
        <v>198</v>
      </c>
      <c r="AO6" s="959" t="s">
        <v>199</v>
      </c>
      <c r="AP6" s="960"/>
      <c r="AQ6" s="966" t="s">
        <v>200</v>
      </c>
      <c r="AR6" s="967"/>
      <c r="AS6" s="968" t="s">
        <v>201</v>
      </c>
      <c r="AT6" s="969"/>
      <c r="AU6" s="970"/>
      <c r="AV6" s="971" t="s">
        <v>202</v>
      </c>
      <c r="AW6" s="972"/>
      <c r="AX6" s="972"/>
      <c r="AY6" s="973"/>
      <c r="AZ6" s="974" t="s">
        <v>203</v>
      </c>
      <c r="BA6" s="974" t="s">
        <v>204</v>
      </c>
      <c r="BB6" s="974" t="s">
        <v>205</v>
      </c>
      <c r="BC6" s="467"/>
      <c r="BD6" s="965" t="s">
        <v>206</v>
      </c>
      <c r="BE6" s="965"/>
      <c r="BF6" s="965"/>
      <c r="BG6" s="1011" t="s">
        <v>207</v>
      </c>
      <c r="BH6" s="1011" t="s">
        <v>208</v>
      </c>
      <c r="BI6" s="1011" t="s">
        <v>26</v>
      </c>
      <c r="BJ6" s="1011" t="s">
        <v>27</v>
      </c>
      <c r="BK6" s="1011" t="s">
        <v>28</v>
      </c>
      <c r="BL6" s="1011" t="s">
        <v>29</v>
      </c>
      <c r="BM6" s="1011" t="s">
        <v>30</v>
      </c>
      <c r="BN6" s="1011" t="s">
        <v>31</v>
      </c>
    </row>
    <row r="7" spans="1:66" s="472" customFormat="1" ht="53.25" customHeight="1">
      <c r="A7" s="977"/>
      <c r="B7" s="483"/>
      <c r="C7" s="483"/>
      <c r="D7" s="990"/>
      <c r="E7" s="484"/>
      <c r="F7" s="979"/>
      <c r="G7" s="483" t="s">
        <v>209</v>
      </c>
      <c r="H7" s="464" t="s">
        <v>210</v>
      </c>
      <c r="I7" s="464" t="s">
        <v>211</v>
      </c>
      <c r="J7" s="485" t="s">
        <v>212</v>
      </c>
      <c r="K7" s="486" t="s">
        <v>213</v>
      </c>
      <c r="L7" s="464" t="s">
        <v>214</v>
      </c>
      <c r="M7" s="487" t="s">
        <v>215</v>
      </c>
      <c r="N7" s="464" t="s">
        <v>213</v>
      </c>
      <c r="O7" s="464" t="s">
        <v>214</v>
      </c>
      <c r="P7" s="487" t="s">
        <v>212</v>
      </c>
      <c r="Q7" s="464" t="s">
        <v>216</v>
      </c>
      <c r="R7" s="464" t="s">
        <v>211</v>
      </c>
      <c r="S7" s="487" t="s">
        <v>212</v>
      </c>
      <c r="T7" s="464" t="s">
        <v>213</v>
      </c>
      <c r="U7" s="464" t="s">
        <v>214</v>
      </c>
      <c r="V7" s="488" t="s">
        <v>212</v>
      </c>
      <c r="W7" s="464" t="s">
        <v>213</v>
      </c>
      <c r="X7" s="464" t="s">
        <v>214</v>
      </c>
      <c r="Y7" s="488" t="s">
        <v>212</v>
      </c>
      <c r="Z7" s="464" t="s">
        <v>213</v>
      </c>
      <c r="AA7" s="464" t="s">
        <v>214</v>
      </c>
      <c r="AB7" s="488" t="s">
        <v>212</v>
      </c>
      <c r="AC7" s="463" t="s">
        <v>217</v>
      </c>
      <c r="AD7" s="464" t="s">
        <v>218</v>
      </c>
      <c r="AE7" s="963"/>
      <c r="AF7" s="489" t="s">
        <v>219</v>
      </c>
      <c r="AG7" s="490"/>
      <c r="AH7" s="491"/>
      <c r="AI7" s="492"/>
      <c r="AJ7" s="493" t="s">
        <v>220</v>
      </c>
      <c r="AK7" s="493" t="s">
        <v>221</v>
      </c>
      <c r="AL7" s="494" t="s">
        <v>222</v>
      </c>
      <c r="AM7" s="495" t="s">
        <v>223</v>
      </c>
      <c r="AN7" s="495" t="s">
        <v>223</v>
      </c>
      <c r="AO7" s="464" t="s">
        <v>213</v>
      </c>
      <c r="AP7" s="464" t="s">
        <v>214</v>
      </c>
      <c r="AQ7" s="464" t="s">
        <v>213</v>
      </c>
      <c r="AR7" s="464" t="s">
        <v>214</v>
      </c>
      <c r="AS7" s="464" t="s">
        <v>213</v>
      </c>
      <c r="AT7" s="464" t="s">
        <v>214</v>
      </c>
      <c r="AU7" s="496" t="s">
        <v>224</v>
      </c>
      <c r="AV7" s="497" t="s">
        <v>213</v>
      </c>
      <c r="AW7" s="497" t="s">
        <v>214</v>
      </c>
      <c r="AX7" s="498"/>
      <c r="AY7" s="499" t="s">
        <v>224</v>
      </c>
      <c r="AZ7" s="974"/>
      <c r="BA7" s="974"/>
      <c r="BB7" s="974"/>
      <c r="BC7" s="467"/>
      <c r="BD7" s="965"/>
      <c r="BE7" s="965"/>
      <c r="BF7" s="965"/>
      <c r="BG7" s="1011"/>
      <c r="BH7" s="1011"/>
      <c r="BI7" s="1011"/>
      <c r="BJ7" s="1011"/>
      <c r="BK7" s="1011"/>
      <c r="BL7" s="1011"/>
      <c r="BM7" s="1011"/>
      <c r="BN7" s="1011"/>
    </row>
    <row r="8" spans="1:66" s="525" customFormat="1" ht="30" customHeight="1">
      <c r="A8" s="500">
        <v>1</v>
      </c>
      <c r="B8" s="501"/>
      <c r="C8" s="501"/>
      <c r="D8" s="502"/>
      <c r="E8" s="502"/>
      <c r="F8" s="501"/>
      <c r="G8" s="501"/>
      <c r="H8" s="503" t="s">
        <v>225</v>
      </c>
      <c r="I8" s="503" t="s">
        <v>226</v>
      </c>
      <c r="J8" s="504" t="s">
        <v>227</v>
      </c>
      <c r="K8" s="505" t="s">
        <v>228</v>
      </c>
      <c r="L8" s="503" t="s">
        <v>229</v>
      </c>
      <c r="M8" s="501" t="s">
        <v>230</v>
      </c>
      <c r="N8" s="503" t="s">
        <v>231</v>
      </c>
      <c r="O8" s="503" t="s">
        <v>232</v>
      </c>
      <c r="P8" s="501" t="s">
        <v>233</v>
      </c>
      <c r="Q8" s="503" t="s">
        <v>234</v>
      </c>
      <c r="R8" s="503" t="s">
        <v>235</v>
      </c>
      <c r="S8" s="501" t="s">
        <v>236</v>
      </c>
      <c r="T8" s="503" t="s">
        <v>237</v>
      </c>
      <c r="U8" s="503" t="s">
        <v>238</v>
      </c>
      <c r="V8" s="506" t="s">
        <v>239</v>
      </c>
      <c r="W8" s="507" t="s">
        <v>237</v>
      </c>
      <c r="X8" s="507" t="s">
        <v>238</v>
      </c>
      <c r="Y8" s="506" t="s">
        <v>239</v>
      </c>
      <c r="Z8" s="507" t="s">
        <v>237</v>
      </c>
      <c r="AA8" s="507" t="s">
        <v>238</v>
      </c>
      <c r="AB8" s="506" t="s">
        <v>239</v>
      </c>
      <c r="AC8" s="508" t="s">
        <v>240</v>
      </c>
      <c r="AD8" s="503" t="s">
        <v>241</v>
      </c>
      <c r="AE8" s="509" t="s">
        <v>242</v>
      </c>
      <c r="AF8" s="510"/>
      <c r="AG8" s="511"/>
      <c r="AH8" s="509"/>
      <c r="AI8" s="512" t="s">
        <v>243</v>
      </c>
      <c r="AJ8" s="507" t="s">
        <v>243</v>
      </c>
      <c r="AK8" s="507" t="s">
        <v>244</v>
      </c>
      <c r="AL8" s="513" t="s">
        <v>245</v>
      </c>
      <c r="AM8" s="514"/>
      <c r="AN8" s="515"/>
      <c r="AO8" s="516"/>
      <c r="AP8" s="517"/>
      <c r="AQ8" s="518"/>
      <c r="AR8" s="516"/>
      <c r="AS8" s="518"/>
      <c r="AT8" s="516"/>
      <c r="AU8" s="519"/>
      <c r="AV8" s="520"/>
      <c r="AW8" s="521"/>
      <c r="AX8" s="522"/>
      <c r="AY8" s="523"/>
      <c r="AZ8" s="974"/>
      <c r="BA8" s="974"/>
      <c r="BB8" s="974"/>
      <c r="BC8" s="482"/>
      <c r="BD8" s="524" t="s">
        <v>246</v>
      </c>
      <c r="BE8" s="524"/>
      <c r="BF8" s="524" t="s">
        <v>247</v>
      </c>
      <c r="BG8" s="1011"/>
      <c r="BH8" s="1011"/>
      <c r="BI8" s="1011"/>
      <c r="BJ8" s="1011"/>
      <c r="BK8" s="1011"/>
      <c r="BL8" s="1011"/>
      <c r="BM8" s="1011"/>
      <c r="BN8" s="1011"/>
    </row>
    <row r="9" spans="1:66" s="560" customFormat="1" ht="47.25" hidden="1">
      <c r="A9" s="526" t="s">
        <v>248</v>
      </c>
      <c r="B9" s="527"/>
      <c r="C9" s="527"/>
      <c r="D9" s="502" t="e">
        <f>F9*1000/#REF!</f>
        <v>#REF!</v>
      </c>
      <c r="E9" s="502" t="e">
        <f>D9/D34*100</f>
        <v>#REF!</v>
      </c>
      <c r="F9" s="528"/>
      <c r="G9" s="527"/>
      <c r="H9" s="529">
        <v>940259.803</v>
      </c>
      <c r="I9" s="530">
        <v>937772.17</v>
      </c>
      <c r="J9" s="531">
        <f>I9/H9*100%</f>
        <v>0.9973543131461509</v>
      </c>
      <c r="K9" s="532">
        <v>49512.04</v>
      </c>
      <c r="L9" s="533">
        <v>49490.82</v>
      </c>
      <c r="M9" s="527">
        <f>L9/K9*100%</f>
        <v>0.9995714173764604</v>
      </c>
      <c r="N9" s="533">
        <v>45992.79</v>
      </c>
      <c r="O9" s="533">
        <v>45985.2</v>
      </c>
      <c r="P9" s="527">
        <f aca="true" t="shared" si="0" ref="P9:P34">O9/N9*100%</f>
        <v>0.9998349741339891</v>
      </c>
      <c r="Q9" s="533">
        <v>99151.57</v>
      </c>
      <c r="R9" s="533">
        <v>98976.12</v>
      </c>
      <c r="S9" s="527">
        <f aca="true" t="shared" si="1" ref="S9:S34">R9/Q9*100%</f>
        <v>0.9982304869201767</v>
      </c>
      <c r="T9" s="533">
        <v>111544.93</v>
      </c>
      <c r="U9" s="533">
        <v>111516.39</v>
      </c>
      <c r="V9" s="534">
        <f aca="true" t="shared" si="2" ref="V9:V14">U9/T9*100%</f>
        <v>0.9997441389761059</v>
      </c>
      <c r="W9" s="533">
        <v>111544.93</v>
      </c>
      <c r="X9" s="533">
        <v>111516.39</v>
      </c>
      <c r="Y9" s="534">
        <f aca="true" t="shared" si="3" ref="Y9:Y14">X9/W9*100%</f>
        <v>0.9997441389761059</v>
      </c>
      <c r="Z9" s="533">
        <v>111544.93</v>
      </c>
      <c r="AA9" s="533">
        <v>111516.39</v>
      </c>
      <c r="AB9" s="534">
        <f aca="true" t="shared" si="4" ref="AB9:AB14">AA9/Z9*100%</f>
        <v>0.9997441389761059</v>
      </c>
      <c r="AC9" s="535" t="e">
        <f>#REF!-H9</f>
        <v>#REF!</v>
      </c>
      <c r="AD9" s="536" t="e">
        <f>#REF!-I9</f>
        <v>#REF!</v>
      </c>
      <c r="AE9" s="537"/>
      <c r="AF9" s="538"/>
      <c r="AG9" s="539"/>
      <c r="AH9" s="537"/>
      <c r="AI9" s="540"/>
      <c r="AJ9" s="541"/>
      <c r="AK9" s="542"/>
      <c r="AL9" s="543"/>
      <c r="AM9" s="544"/>
      <c r="AN9" s="545"/>
      <c r="AO9" s="546"/>
      <c r="AP9" s="547"/>
      <c r="AQ9" s="548"/>
      <c r="AR9" s="546"/>
      <c r="AS9" s="548"/>
      <c r="AT9" s="546"/>
      <c r="AU9" s="549"/>
      <c r="AV9" s="550"/>
      <c r="AW9" s="551"/>
      <c r="AX9" s="552"/>
      <c r="AY9" s="553"/>
      <c r="AZ9" s="554"/>
      <c r="BA9" s="555"/>
      <c r="BB9" s="556"/>
      <c r="BC9" s="557"/>
      <c r="BD9" s="558"/>
      <c r="BE9" s="558"/>
      <c r="BF9" s="558"/>
      <c r="BG9" s="558"/>
      <c r="BH9" s="558"/>
      <c r="BI9" s="559"/>
      <c r="BJ9" s="559"/>
      <c r="BK9" s="559"/>
      <c r="BL9" s="559"/>
      <c r="BM9" s="559"/>
      <c r="BN9" s="559"/>
    </row>
    <row r="10" spans="1:67" s="593" customFormat="1" ht="15.75">
      <c r="A10" s="561" t="s">
        <v>249</v>
      </c>
      <c r="B10" s="562">
        <f aca="true" t="shared" si="5" ref="B10:B34">G10/F10*1000</f>
        <v>0</v>
      </c>
      <c r="C10" s="562">
        <f aca="true" t="shared" si="6" ref="C10:C34">B10/2213.97*100</f>
        <v>0</v>
      </c>
      <c r="D10" s="563">
        <f aca="true" t="shared" si="7" ref="D10:D34">H10/F10*1000</f>
        <v>3105.1971986730555</v>
      </c>
      <c r="E10" s="563">
        <f aca="true" t="shared" si="8" ref="E10:E34">D10/2491.35*100</f>
        <v>124.63913936913944</v>
      </c>
      <c r="F10" s="564">
        <v>2713</v>
      </c>
      <c r="G10" s="565"/>
      <c r="H10" s="566">
        <v>8424.4</v>
      </c>
      <c r="I10" s="567">
        <v>4020.88</v>
      </c>
      <c r="J10" s="531">
        <f>I10/H10*100%</f>
        <v>0.4772897773135179</v>
      </c>
      <c r="K10" s="568">
        <v>1996.7</v>
      </c>
      <c r="L10" s="567">
        <v>1507.2</v>
      </c>
      <c r="M10" s="562">
        <f>K10*100/H10</f>
        <v>23.701391196999193</v>
      </c>
      <c r="N10" s="569">
        <v>1935.6</v>
      </c>
      <c r="O10" s="570">
        <v>1488.3</v>
      </c>
      <c r="P10" s="571">
        <f t="shared" si="0"/>
        <v>0.7689088654680719</v>
      </c>
      <c r="Q10" s="572">
        <v>450.93</v>
      </c>
      <c r="R10" s="572">
        <v>219.54</v>
      </c>
      <c r="S10" s="571">
        <f t="shared" si="1"/>
        <v>0.4868604883241301</v>
      </c>
      <c r="T10" s="570">
        <v>228.37</v>
      </c>
      <c r="U10" s="570">
        <v>87.11</v>
      </c>
      <c r="V10" s="573">
        <f t="shared" si="2"/>
        <v>0.3814423961115733</v>
      </c>
      <c r="W10" s="570">
        <v>0</v>
      </c>
      <c r="X10" s="570">
        <v>0</v>
      </c>
      <c r="Y10" s="573" t="e">
        <f t="shared" si="3"/>
        <v>#DIV/0!</v>
      </c>
      <c r="Z10" s="570">
        <v>1063.09</v>
      </c>
      <c r="AA10" s="570">
        <v>0</v>
      </c>
      <c r="AB10" s="573">
        <f t="shared" si="4"/>
        <v>0</v>
      </c>
      <c r="AC10" s="574" t="e">
        <f>#REF!-H10</f>
        <v>#REF!</v>
      </c>
      <c r="AD10" s="575" t="e">
        <f>#REF!-I10</f>
        <v>#REF!</v>
      </c>
      <c r="AE10" s="576">
        <f>AF10</f>
        <v>2807.32</v>
      </c>
      <c r="AF10" s="576">
        <v>2807.32</v>
      </c>
      <c r="AG10" s="577">
        <f aca="true" t="shared" si="9" ref="AG10:AG34">AI10*1000/F10</f>
        <v>62.5617397714707</v>
      </c>
      <c r="AH10" s="578" t="e">
        <f>AG10/AG35*100</f>
        <v>#DIV/0!</v>
      </c>
      <c r="AI10" s="579">
        <f aca="true" t="shared" si="10" ref="AI10:AI33">AJ10+AK10+AL10</f>
        <v>169.73</v>
      </c>
      <c r="AJ10" s="566">
        <f>40000/1000</f>
        <v>40</v>
      </c>
      <c r="AK10" s="566">
        <v>59.73</v>
      </c>
      <c r="AL10" s="566">
        <f>70000/1000</f>
        <v>70</v>
      </c>
      <c r="AM10" s="544">
        <f aca="true" t="shared" si="11" ref="AM10:AM34">AK10*100/H10</f>
        <v>0.7090119177626893</v>
      </c>
      <c r="AN10" s="545">
        <f aca="true" t="shared" si="12" ref="AN10:AN34">AL10*100/H10</f>
        <v>0.8309197094155074</v>
      </c>
      <c r="AO10" s="580">
        <v>994.37</v>
      </c>
      <c r="AP10" s="580">
        <v>279.48</v>
      </c>
      <c r="AQ10" s="580">
        <f>931978.16/1000</f>
        <v>931.97816</v>
      </c>
      <c r="AR10" s="580">
        <v>635.48</v>
      </c>
      <c r="AS10" s="581">
        <f>AO10+AQ10</f>
        <v>1926.34816</v>
      </c>
      <c r="AT10" s="581">
        <f>AP10+AR10</f>
        <v>914.96</v>
      </c>
      <c r="AU10" s="582">
        <f aca="true" t="shared" si="13" ref="AU10:AU34">AS10*100/H10</f>
        <v>22.86629504771853</v>
      </c>
      <c r="AV10" s="583"/>
      <c r="AW10" s="584"/>
      <c r="AX10" s="585"/>
      <c r="AY10" s="586">
        <f aca="true" t="shared" si="14" ref="AY10:AY34">AV10*100/H10</f>
        <v>0</v>
      </c>
      <c r="AZ10" s="587"/>
      <c r="BA10" s="588"/>
      <c r="BB10" s="589"/>
      <c r="BC10" s="590"/>
      <c r="BD10" s="591"/>
      <c r="BE10" s="591"/>
      <c r="BF10" s="591"/>
      <c r="BG10" s="591"/>
      <c r="BH10" s="592"/>
      <c r="BI10" s="592"/>
      <c r="BJ10" s="592"/>
      <c r="BK10" s="592"/>
      <c r="BL10" s="592"/>
      <c r="BM10" s="592"/>
      <c r="BN10" s="592"/>
      <c r="BO10" s="593" t="e">
        <f>#REF!/#REF!</f>
        <v>#REF!</v>
      </c>
    </row>
    <row r="11" spans="1:67" s="593" customFormat="1" ht="15.75">
      <c r="A11" s="561" t="s">
        <v>250</v>
      </c>
      <c r="B11" s="562">
        <f t="shared" si="5"/>
        <v>0</v>
      </c>
      <c r="C11" s="562">
        <f t="shared" si="6"/>
        <v>0</v>
      </c>
      <c r="D11" s="563">
        <f t="shared" si="7"/>
        <v>3251.896032831737</v>
      </c>
      <c r="E11" s="563">
        <f t="shared" si="8"/>
        <v>130.52746634682953</v>
      </c>
      <c r="F11" s="564">
        <v>3655</v>
      </c>
      <c r="G11" s="565"/>
      <c r="H11" s="566">
        <v>11885.68</v>
      </c>
      <c r="I11" s="567">
        <v>8146.78</v>
      </c>
      <c r="J11" s="531">
        <f aca="true" t="shared" si="15" ref="J11:J33">I11/H11*100%</f>
        <v>0.6854281791197474</v>
      </c>
      <c r="K11" s="568">
        <v>2481.3</v>
      </c>
      <c r="L11" s="567">
        <v>2240.3</v>
      </c>
      <c r="M11" s="562">
        <f aca="true" t="shared" si="16" ref="M11:M34">K11*100/H11</f>
        <v>20.87638233571828</v>
      </c>
      <c r="N11" s="569">
        <v>2481.3</v>
      </c>
      <c r="O11" s="570">
        <v>2240.3</v>
      </c>
      <c r="P11" s="571">
        <f t="shared" si="0"/>
        <v>0.9028734937331238</v>
      </c>
      <c r="Q11" s="572">
        <v>3013.55</v>
      </c>
      <c r="R11" s="572">
        <v>1495.63</v>
      </c>
      <c r="S11" s="571">
        <f t="shared" si="1"/>
        <v>0.49630170397040035</v>
      </c>
      <c r="T11" s="570">
        <v>302.68</v>
      </c>
      <c r="U11" s="570">
        <v>263.12</v>
      </c>
      <c r="V11" s="573">
        <f t="shared" si="2"/>
        <v>0.8693009118541033</v>
      </c>
      <c r="W11" s="570">
        <v>0</v>
      </c>
      <c r="X11" s="570">
        <v>0</v>
      </c>
      <c r="Y11" s="573" t="e">
        <f t="shared" si="3"/>
        <v>#DIV/0!</v>
      </c>
      <c r="Z11" s="570">
        <v>282.76</v>
      </c>
      <c r="AA11" s="570">
        <v>263.65</v>
      </c>
      <c r="AB11" s="573">
        <f t="shared" si="4"/>
        <v>0.932416183335691</v>
      </c>
      <c r="AC11" s="574" t="e">
        <f>#REF!-H11</f>
        <v>#REF!</v>
      </c>
      <c r="AD11" s="575" t="e">
        <f>#REF!-I11</f>
        <v>#REF!</v>
      </c>
      <c r="AE11" s="576">
        <f aca="true" t="shared" si="17" ref="AE11:AE33">AF11</f>
        <v>4397.04</v>
      </c>
      <c r="AF11" s="576">
        <v>4397.04</v>
      </c>
      <c r="AG11" s="577">
        <f t="shared" si="9"/>
        <v>360.81532147742826</v>
      </c>
      <c r="AH11" s="578" t="e">
        <f aca="true" t="shared" si="18" ref="AH11:AH34">AG11/AG36*100</f>
        <v>#DIV/0!</v>
      </c>
      <c r="AI11" s="579">
        <f t="shared" si="10"/>
        <v>1318.7800000000002</v>
      </c>
      <c r="AJ11" s="566">
        <f>72130/1000</f>
        <v>72.13</v>
      </c>
      <c r="AK11" s="566">
        <f>70000/1000</f>
        <v>70</v>
      </c>
      <c r="AL11" s="566">
        <v>1176.65</v>
      </c>
      <c r="AM11" s="544">
        <f t="shared" si="11"/>
        <v>0.5889440065692497</v>
      </c>
      <c r="AN11" s="545">
        <f t="shared" si="12"/>
        <v>9.899728076138683</v>
      </c>
      <c r="AO11" s="580">
        <v>636.06</v>
      </c>
      <c r="AP11" s="580">
        <v>513.46</v>
      </c>
      <c r="AQ11" s="580">
        <v>847.6</v>
      </c>
      <c r="AR11" s="580">
        <v>213.35</v>
      </c>
      <c r="AS11" s="581">
        <f aca="true" t="shared" si="19" ref="AS11:AT33">AO11+AQ11</f>
        <v>1483.6599999999999</v>
      </c>
      <c r="AT11" s="581">
        <f t="shared" si="19"/>
        <v>726.8100000000001</v>
      </c>
      <c r="AU11" s="582">
        <f t="shared" si="13"/>
        <v>12.482752354093329</v>
      </c>
      <c r="AV11" s="583"/>
      <c r="AW11" s="584"/>
      <c r="AX11" s="585"/>
      <c r="AY11" s="586">
        <f t="shared" si="14"/>
        <v>0</v>
      </c>
      <c r="AZ11" s="587"/>
      <c r="BA11" s="588"/>
      <c r="BB11" s="589"/>
      <c r="BC11" s="590"/>
      <c r="BD11" s="591"/>
      <c r="BE11" s="591"/>
      <c r="BF11" s="591"/>
      <c r="BG11" s="591"/>
      <c r="BH11" s="592"/>
      <c r="BI11" s="594"/>
      <c r="BJ11" s="595"/>
      <c r="BK11" s="592"/>
      <c r="BL11" s="592"/>
      <c r="BM11" s="594"/>
      <c r="BN11" s="592"/>
      <c r="BO11" s="593" t="e">
        <f>#REF!/#REF!</f>
        <v>#REF!</v>
      </c>
    </row>
    <row r="12" spans="1:67" s="593" customFormat="1" ht="15.75">
      <c r="A12" s="561" t="s">
        <v>251</v>
      </c>
      <c r="B12" s="562">
        <f t="shared" si="5"/>
        <v>0</v>
      </c>
      <c r="C12" s="562">
        <f t="shared" si="6"/>
        <v>0</v>
      </c>
      <c r="D12" s="563">
        <f t="shared" si="7"/>
        <v>4240.196575776791</v>
      </c>
      <c r="E12" s="563">
        <f t="shared" si="8"/>
        <v>170.1967437644968</v>
      </c>
      <c r="F12" s="564">
        <v>4731</v>
      </c>
      <c r="G12" s="565"/>
      <c r="H12" s="566">
        <v>20060.37</v>
      </c>
      <c r="I12" s="567">
        <v>11429.16</v>
      </c>
      <c r="J12" s="531">
        <f t="shared" si="15"/>
        <v>0.5697382451071441</v>
      </c>
      <c r="K12" s="568">
        <v>3261.6</v>
      </c>
      <c r="L12" s="567">
        <v>2479</v>
      </c>
      <c r="M12" s="562">
        <f t="shared" si="16"/>
        <v>16.25892244260699</v>
      </c>
      <c r="N12" s="569">
        <v>3252.6</v>
      </c>
      <c r="O12" s="570">
        <v>2470.8</v>
      </c>
      <c r="P12" s="571">
        <f t="shared" si="0"/>
        <v>0.7596384430916806</v>
      </c>
      <c r="Q12" s="572">
        <v>1199.93</v>
      </c>
      <c r="R12" s="572">
        <v>723.47</v>
      </c>
      <c r="S12" s="571">
        <f t="shared" si="1"/>
        <v>0.6029268373988482</v>
      </c>
      <c r="T12" s="570">
        <v>6953.14</v>
      </c>
      <c r="U12" s="570">
        <v>1835.31</v>
      </c>
      <c r="V12" s="573">
        <f t="shared" si="2"/>
        <v>0.2639541272000851</v>
      </c>
      <c r="W12" s="570">
        <v>6561.97</v>
      </c>
      <c r="X12" s="570">
        <v>1536.25</v>
      </c>
      <c r="Y12" s="573">
        <f t="shared" si="3"/>
        <v>0.23411414559956842</v>
      </c>
      <c r="Z12" s="570">
        <v>0</v>
      </c>
      <c r="AA12" s="570">
        <v>0</v>
      </c>
      <c r="AB12" s="573" t="e">
        <f t="shared" si="4"/>
        <v>#DIV/0!</v>
      </c>
      <c r="AC12" s="574" t="e">
        <f>#REF!-H12</f>
        <v>#REF!</v>
      </c>
      <c r="AD12" s="575" t="e">
        <f>#REF!-I12</f>
        <v>#REF!</v>
      </c>
      <c r="AE12" s="576">
        <f t="shared" si="17"/>
        <v>5165.1</v>
      </c>
      <c r="AF12" s="576">
        <f>5165100/1000</f>
        <v>5165.1</v>
      </c>
      <c r="AG12" s="577">
        <f t="shared" si="9"/>
        <v>448.17586134009713</v>
      </c>
      <c r="AH12" s="578" t="e">
        <f t="shared" si="18"/>
        <v>#DIV/0!</v>
      </c>
      <c r="AI12" s="579">
        <f t="shared" si="10"/>
        <v>2120.3199999999997</v>
      </c>
      <c r="AJ12" s="566">
        <v>53.5</v>
      </c>
      <c r="AK12" s="566">
        <v>1911.82</v>
      </c>
      <c r="AL12" s="566">
        <f>155000/1000</f>
        <v>155</v>
      </c>
      <c r="AM12" s="544">
        <f t="shared" si="11"/>
        <v>9.530332690772903</v>
      </c>
      <c r="AN12" s="545">
        <f t="shared" si="12"/>
        <v>0.7726677025398834</v>
      </c>
      <c r="AO12" s="580">
        <v>951.92</v>
      </c>
      <c r="AP12" s="580">
        <v>659.67</v>
      </c>
      <c r="AQ12" s="580">
        <v>1723.08</v>
      </c>
      <c r="AR12" s="580">
        <v>1465.46</v>
      </c>
      <c r="AS12" s="581">
        <f t="shared" si="19"/>
        <v>2675</v>
      </c>
      <c r="AT12" s="581">
        <f t="shared" si="19"/>
        <v>2125.13</v>
      </c>
      <c r="AU12" s="582">
        <f t="shared" si="13"/>
        <v>13.334749059962505</v>
      </c>
      <c r="AV12" s="583"/>
      <c r="AW12" s="596"/>
      <c r="AX12" s="585"/>
      <c r="AY12" s="586">
        <f t="shared" si="14"/>
        <v>0</v>
      </c>
      <c r="AZ12" s="587"/>
      <c r="BA12" s="588"/>
      <c r="BB12" s="589"/>
      <c r="BC12" s="590"/>
      <c r="BD12" s="591"/>
      <c r="BE12" s="591"/>
      <c r="BF12" s="591"/>
      <c r="BG12" s="591"/>
      <c r="BH12" s="592"/>
      <c r="BI12" s="592"/>
      <c r="BJ12" s="592"/>
      <c r="BK12" s="592"/>
      <c r="BL12" s="592"/>
      <c r="BM12" s="597"/>
      <c r="BN12" s="592"/>
      <c r="BO12" s="593" t="e">
        <f>#REF!/#REF!</f>
        <v>#REF!</v>
      </c>
    </row>
    <row r="13" spans="1:67" s="593" customFormat="1" ht="15.75">
      <c r="A13" s="561" t="s">
        <v>252</v>
      </c>
      <c r="B13" s="562">
        <f t="shared" si="5"/>
        <v>0</v>
      </c>
      <c r="C13" s="562">
        <f t="shared" si="6"/>
        <v>0</v>
      </c>
      <c r="D13" s="563">
        <f t="shared" si="7"/>
        <v>4000.781487101669</v>
      </c>
      <c r="E13" s="563">
        <f t="shared" si="8"/>
        <v>160.58689012389544</v>
      </c>
      <c r="F13" s="564">
        <v>7908</v>
      </c>
      <c r="G13" s="565"/>
      <c r="H13" s="566">
        <v>31638.18</v>
      </c>
      <c r="I13" s="567">
        <v>21623.22</v>
      </c>
      <c r="J13" s="531">
        <f t="shared" si="15"/>
        <v>0.6834533465578615</v>
      </c>
      <c r="K13" s="568">
        <v>4160.8</v>
      </c>
      <c r="L13" s="567">
        <v>2737.3</v>
      </c>
      <c r="M13" s="562">
        <f t="shared" si="16"/>
        <v>13.151198962772195</v>
      </c>
      <c r="N13" s="569">
        <v>4091.7</v>
      </c>
      <c r="O13" s="570">
        <v>2692.5</v>
      </c>
      <c r="P13" s="571">
        <f t="shared" si="0"/>
        <v>0.6580394457071633</v>
      </c>
      <c r="Q13" s="572">
        <f>881.84+288.81+1713.42</f>
        <v>2884.07</v>
      </c>
      <c r="R13" s="572">
        <f>551.14+122.96+588.64</f>
        <v>1262.74</v>
      </c>
      <c r="S13" s="571">
        <f t="shared" si="1"/>
        <v>0.4378326462256464</v>
      </c>
      <c r="T13" s="570">
        <f>326.1+430</f>
        <v>756.1</v>
      </c>
      <c r="U13" s="570">
        <f>97.48+377.74</f>
        <v>475.22</v>
      </c>
      <c r="V13" s="573">
        <f t="shared" si="2"/>
        <v>0.6285147467266234</v>
      </c>
      <c r="W13" s="598">
        <v>0</v>
      </c>
      <c r="X13" s="598">
        <v>0</v>
      </c>
      <c r="Y13" s="573" t="e">
        <f t="shared" si="3"/>
        <v>#DIV/0!</v>
      </c>
      <c r="Z13" s="570">
        <v>0</v>
      </c>
      <c r="AA13" s="570">
        <v>0</v>
      </c>
      <c r="AB13" s="573" t="e">
        <f t="shared" si="4"/>
        <v>#DIV/0!</v>
      </c>
      <c r="AC13" s="574" t="e">
        <f>#REF!-H13</f>
        <v>#REF!</v>
      </c>
      <c r="AD13" s="575" t="e">
        <f>#REF!-I13</f>
        <v>#REF!</v>
      </c>
      <c r="AE13" s="576">
        <f>AF13+4063.78</f>
        <v>16347.36</v>
      </c>
      <c r="AF13" s="576">
        <f>8219.8+4063.78</f>
        <v>12283.58</v>
      </c>
      <c r="AG13" s="577">
        <f t="shared" si="9"/>
        <v>1569.0452706120384</v>
      </c>
      <c r="AH13" s="578" t="e">
        <f t="shared" si="18"/>
        <v>#DIV/0!</v>
      </c>
      <c r="AI13" s="579">
        <f t="shared" si="10"/>
        <v>12408.01</v>
      </c>
      <c r="AJ13" s="566">
        <f>40000/1000</f>
        <v>40</v>
      </c>
      <c r="AK13" s="566">
        <v>11943.91</v>
      </c>
      <c r="AL13" s="566">
        <f>424100/1000</f>
        <v>424.1</v>
      </c>
      <c r="AM13" s="544">
        <f t="shared" si="11"/>
        <v>37.751571044857826</v>
      </c>
      <c r="AN13" s="545">
        <f t="shared" si="12"/>
        <v>1.340469015600771</v>
      </c>
      <c r="AO13" s="580">
        <v>2033</v>
      </c>
      <c r="AP13" s="580">
        <v>1583.74</v>
      </c>
      <c r="AQ13" s="580">
        <v>5865.63</v>
      </c>
      <c r="AR13" s="580">
        <v>5437.05</v>
      </c>
      <c r="AS13" s="581">
        <f t="shared" si="19"/>
        <v>7898.63</v>
      </c>
      <c r="AT13" s="581">
        <f t="shared" si="19"/>
        <v>7020.79</v>
      </c>
      <c r="AU13" s="582">
        <f t="shared" si="13"/>
        <v>24.96550054396302</v>
      </c>
      <c r="AV13" s="583"/>
      <c r="AW13" s="596"/>
      <c r="AX13" s="585"/>
      <c r="AY13" s="586">
        <f t="shared" si="14"/>
        <v>0</v>
      </c>
      <c r="AZ13" s="587"/>
      <c r="BA13" s="588"/>
      <c r="BB13" s="589"/>
      <c r="BC13" s="590"/>
      <c r="BD13" s="591"/>
      <c r="BE13" s="591"/>
      <c r="BF13" s="591"/>
      <c r="BG13" s="591"/>
      <c r="BH13" s="559"/>
      <c r="BI13" s="592"/>
      <c r="BJ13" s="592"/>
      <c r="BK13" s="592"/>
      <c r="BL13" s="592"/>
      <c r="BM13" s="592"/>
      <c r="BN13" s="592"/>
      <c r="BO13" s="593" t="e">
        <f>#REF!/#REF!</f>
        <v>#REF!</v>
      </c>
    </row>
    <row r="14" spans="1:67" s="593" customFormat="1" ht="15.75">
      <c r="A14" s="561" t="s">
        <v>253</v>
      </c>
      <c r="B14" s="562">
        <f t="shared" si="5"/>
        <v>0</v>
      </c>
      <c r="C14" s="562">
        <f t="shared" si="6"/>
        <v>0</v>
      </c>
      <c r="D14" s="563">
        <f t="shared" si="7"/>
        <v>9016.412579957356</v>
      </c>
      <c r="E14" s="563">
        <f t="shared" si="8"/>
        <v>361.908707325641</v>
      </c>
      <c r="F14" s="564">
        <v>3752</v>
      </c>
      <c r="G14" s="565"/>
      <c r="H14" s="566">
        <v>33829.58</v>
      </c>
      <c r="I14" s="567">
        <v>18997.7</v>
      </c>
      <c r="J14" s="531">
        <f t="shared" si="15"/>
        <v>0.5615706727662596</v>
      </c>
      <c r="K14" s="568">
        <v>3146.8</v>
      </c>
      <c r="L14" s="567">
        <v>2290.7</v>
      </c>
      <c r="M14" s="562">
        <f t="shared" si="16"/>
        <v>9.301918616784482</v>
      </c>
      <c r="N14" s="569">
        <v>3115.5</v>
      </c>
      <c r="O14" s="570">
        <v>2279.8</v>
      </c>
      <c r="P14" s="571">
        <f t="shared" si="0"/>
        <v>0.7317605520783181</v>
      </c>
      <c r="Q14" s="572">
        <v>1339.31</v>
      </c>
      <c r="R14" s="572">
        <v>883.55</v>
      </c>
      <c r="S14" s="571">
        <f t="shared" si="1"/>
        <v>0.659705370675945</v>
      </c>
      <c r="T14" s="570">
        <v>2544.73</v>
      </c>
      <c r="U14" s="570">
        <v>1577.15</v>
      </c>
      <c r="V14" s="573">
        <f t="shared" si="2"/>
        <v>0.6197710562613715</v>
      </c>
      <c r="W14" s="598">
        <v>0</v>
      </c>
      <c r="X14" s="598">
        <v>0</v>
      </c>
      <c r="Y14" s="573" t="e">
        <f t="shared" si="3"/>
        <v>#DIV/0!</v>
      </c>
      <c r="Z14" s="570">
        <f>100000/1000</f>
        <v>100</v>
      </c>
      <c r="AA14" s="570">
        <v>0</v>
      </c>
      <c r="AB14" s="573">
        <f t="shared" si="4"/>
        <v>0</v>
      </c>
      <c r="AC14" s="574" t="e">
        <f>#REF!-H14</f>
        <v>#REF!</v>
      </c>
      <c r="AD14" s="575" t="e">
        <f>#REF!-I14</f>
        <v>#REF!</v>
      </c>
      <c r="AE14" s="576">
        <f t="shared" si="17"/>
        <v>5078.1</v>
      </c>
      <c r="AF14" s="576">
        <v>5078.1</v>
      </c>
      <c r="AG14" s="577">
        <f t="shared" si="9"/>
        <v>239.9733475479744</v>
      </c>
      <c r="AH14" s="578" t="e">
        <f t="shared" si="18"/>
        <v>#DIV/0!</v>
      </c>
      <c r="AI14" s="579">
        <f t="shared" si="10"/>
        <v>900.38</v>
      </c>
      <c r="AJ14" s="599">
        <f>4000/1000</f>
        <v>4</v>
      </c>
      <c r="AK14" s="566">
        <v>449.42</v>
      </c>
      <c r="AL14" s="566">
        <v>446.96</v>
      </c>
      <c r="AM14" s="544">
        <f t="shared" si="11"/>
        <v>1.3284823518352873</v>
      </c>
      <c r="AN14" s="545">
        <f t="shared" si="12"/>
        <v>1.321210609176939</v>
      </c>
      <c r="AO14" s="580">
        <v>2240.22</v>
      </c>
      <c r="AP14" s="580">
        <v>1107.44</v>
      </c>
      <c r="AQ14" s="580">
        <v>17210.56</v>
      </c>
      <c r="AR14" s="580">
        <v>8896.47</v>
      </c>
      <c r="AS14" s="581">
        <f t="shared" si="19"/>
        <v>19450.780000000002</v>
      </c>
      <c r="AT14" s="581">
        <f t="shared" si="19"/>
        <v>10003.91</v>
      </c>
      <c r="AU14" s="582">
        <f t="shared" si="13"/>
        <v>57.49636856266026</v>
      </c>
      <c r="AV14" s="583"/>
      <c r="AW14" s="596"/>
      <c r="AX14" s="585"/>
      <c r="AY14" s="586">
        <f t="shared" si="14"/>
        <v>0</v>
      </c>
      <c r="AZ14" s="587"/>
      <c r="BA14" s="588"/>
      <c r="BB14" s="589"/>
      <c r="BC14" s="590"/>
      <c r="BD14" s="591"/>
      <c r="BE14" s="591"/>
      <c r="BF14" s="591"/>
      <c r="BG14" s="591"/>
      <c r="BH14" s="559"/>
      <c r="BI14" s="592"/>
      <c r="BJ14" s="592"/>
      <c r="BK14" s="592"/>
      <c r="BL14" s="592"/>
      <c r="BM14" s="595"/>
      <c r="BN14" s="592"/>
      <c r="BO14" s="593" t="e">
        <f>#REF!/#REF!</f>
        <v>#REF!</v>
      </c>
    </row>
    <row r="15" spans="1:67" s="593" customFormat="1" ht="15.75">
      <c r="A15" s="561" t="s">
        <v>254</v>
      </c>
      <c r="B15" s="562">
        <f t="shared" si="5"/>
        <v>0</v>
      </c>
      <c r="C15" s="562">
        <f t="shared" si="6"/>
        <v>0</v>
      </c>
      <c r="D15" s="563">
        <f t="shared" si="7"/>
        <v>3239.5235994706663</v>
      </c>
      <c r="E15" s="563">
        <f t="shared" si="8"/>
        <v>130.0308507223259</v>
      </c>
      <c r="F15" s="564">
        <v>2267</v>
      </c>
      <c r="G15" s="565"/>
      <c r="H15" s="566">
        <v>7344</v>
      </c>
      <c r="I15" s="567">
        <v>3685.7</v>
      </c>
      <c r="J15" s="531">
        <f t="shared" si="15"/>
        <v>0.501865468409586</v>
      </c>
      <c r="K15" s="568">
        <v>2539.7</v>
      </c>
      <c r="L15" s="567">
        <v>1708.2</v>
      </c>
      <c r="M15" s="562">
        <f t="shared" si="16"/>
        <v>34.581971677559906</v>
      </c>
      <c r="N15" s="569">
        <v>2221.7</v>
      </c>
      <c r="O15" s="570">
        <v>1603.7</v>
      </c>
      <c r="P15" s="571">
        <f t="shared" si="0"/>
        <v>0.7218346311383176</v>
      </c>
      <c r="Q15" s="572">
        <v>910.42</v>
      </c>
      <c r="R15" s="572">
        <v>328.72</v>
      </c>
      <c r="S15" s="571">
        <f t="shared" si="1"/>
        <v>0.36106412425034606</v>
      </c>
      <c r="T15" s="570">
        <v>128.14</v>
      </c>
      <c r="U15" s="570">
        <v>33.13</v>
      </c>
      <c r="V15" s="573">
        <v>0</v>
      </c>
      <c r="W15" s="570">
        <v>0</v>
      </c>
      <c r="X15" s="570">
        <v>0</v>
      </c>
      <c r="Y15" s="573">
        <v>0</v>
      </c>
      <c r="Z15" s="570">
        <v>0</v>
      </c>
      <c r="AA15" s="570">
        <v>0</v>
      </c>
      <c r="AB15" s="573">
        <v>0</v>
      </c>
      <c r="AC15" s="574" t="e">
        <f>#REF!-H15</f>
        <v>#REF!</v>
      </c>
      <c r="AD15" s="575" t="e">
        <f>#REF!-I15</f>
        <v>#REF!</v>
      </c>
      <c r="AE15" s="576">
        <f t="shared" si="17"/>
        <v>3820.64</v>
      </c>
      <c r="AF15" s="576">
        <v>3820.64</v>
      </c>
      <c r="AG15" s="577">
        <f t="shared" si="9"/>
        <v>215.866784296427</v>
      </c>
      <c r="AH15" s="578" t="e">
        <f t="shared" si="18"/>
        <v>#DIV/0!</v>
      </c>
      <c r="AI15" s="579">
        <f t="shared" si="10"/>
        <v>489.37</v>
      </c>
      <c r="AJ15" s="566">
        <f>15000/1000</f>
        <v>15</v>
      </c>
      <c r="AK15" s="566">
        <v>459.37</v>
      </c>
      <c r="AL15" s="566">
        <f>15000/1000</f>
        <v>15</v>
      </c>
      <c r="AM15" s="544">
        <f t="shared" si="11"/>
        <v>6.255038126361656</v>
      </c>
      <c r="AN15" s="545">
        <f t="shared" si="12"/>
        <v>0.2042483660130719</v>
      </c>
      <c r="AO15" s="580">
        <v>188.04</v>
      </c>
      <c r="AP15" s="580">
        <v>50.72</v>
      </c>
      <c r="AQ15" s="580">
        <f>724675.5/1000</f>
        <v>724.6755</v>
      </c>
      <c r="AR15" s="580">
        <v>42.14</v>
      </c>
      <c r="AS15" s="581">
        <f t="shared" si="19"/>
        <v>912.7155</v>
      </c>
      <c r="AT15" s="581">
        <f t="shared" si="19"/>
        <v>92.86</v>
      </c>
      <c r="AU15" s="582">
        <f t="shared" si="13"/>
        <v>12.428043300653595</v>
      </c>
      <c r="AV15" s="583"/>
      <c r="AW15" s="596"/>
      <c r="AX15" s="585"/>
      <c r="AY15" s="586">
        <f t="shared" si="14"/>
        <v>0</v>
      </c>
      <c r="AZ15" s="587"/>
      <c r="BA15" s="588"/>
      <c r="BB15" s="589"/>
      <c r="BC15" s="590"/>
      <c r="BD15" s="591"/>
      <c r="BE15" s="591"/>
      <c r="BF15" s="591"/>
      <c r="BG15" s="591"/>
      <c r="BH15" s="559"/>
      <c r="BI15" s="592"/>
      <c r="BJ15" s="592"/>
      <c r="BK15" s="592"/>
      <c r="BL15" s="592"/>
      <c r="BM15" s="592"/>
      <c r="BN15" s="592"/>
      <c r="BO15" s="593" t="e">
        <f>#REF!/#REF!</f>
        <v>#REF!</v>
      </c>
    </row>
    <row r="16" spans="1:67" s="593" customFormat="1" ht="15.75">
      <c r="A16" s="561" t="s">
        <v>255</v>
      </c>
      <c r="B16" s="562">
        <f t="shared" si="5"/>
        <v>0</v>
      </c>
      <c r="C16" s="562">
        <f t="shared" si="6"/>
        <v>0</v>
      </c>
      <c r="D16" s="563">
        <f t="shared" si="7"/>
        <v>2320.26204238921</v>
      </c>
      <c r="E16" s="563">
        <f t="shared" si="8"/>
        <v>93.13272090991671</v>
      </c>
      <c r="F16" s="564">
        <v>5190</v>
      </c>
      <c r="G16" s="565"/>
      <c r="H16" s="566">
        <v>12042.16</v>
      </c>
      <c r="I16" s="567">
        <v>7796.48</v>
      </c>
      <c r="J16" s="531">
        <f t="shared" si="15"/>
        <v>0.647432022162137</v>
      </c>
      <c r="K16" s="568">
        <v>3212.1</v>
      </c>
      <c r="L16" s="567">
        <v>2359.1</v>
      </c>
      <c r="M16" s="562">
        <f t="shared" si="16"/>
        <v>26.67378609817508</v>
      </c>
      <c r="N16" s="569">
        <v>3208</v>
      </c>
      <c r="O16" s="570">
        <v>2355.4</v>
      </c>
      <c r="P16" s="571">
        <f t="shared" si="0"/>
        <v>0.7342269326683292</v>
      </c>
      <c r="Q16" s="572">
        <v>410.26</v>
      </c>
      <c r="R16" s="572">
        <v>155.9</v>
      </c>
      <c r="S16" s="571">
        <f t="shared" si="1"/>
        <v>0.3800029249744065</v>
      </c>
      <c r="T16" s="570">
        <v>45.17</v>
      </c>
      <c r="U16" s="570">
        <v>39.5</v>
      </c>
      <c r="V16" s="573">
        <f aca="true" t="shared" si="20" ref="V16:V34">U16/T16*100%</f>
        <v>0.8744742085454947</v>
      </c>
      <c r="W16" s="570">
        <v>0</v>
      </c>
      <c r="X16" s="570">
        <v>0</v>
      </c>
      <c r="Y16" s="573" t="e">
        <f aca="true" t="shared" si="21" ref="Y16:Y34">X16/W16*100%</f>
        <v>#DIV/0!</v>
      </c>
      <c r="Z16" s="570">
        <v>0</v>
      </c>
      <c r="AA16" s="570">
        <v>0</v>
      </c>
      <c r="AB16" s="573" t="e">
        <f aca="true" t="shared" si="22" ref="AB16:AB34">AA16/Z16*100%</f>
        <v>#DIV/0!</v>
      </c>
      <c r="AC16" s="574" t="e">
        <f>#REF!-H16</f>
        <v>#REF!</v>
      </c>
      <c r="AD16" s="575" t="e">
        <f>#REF!-I16</f>
        <v>#REF!</v>
      </c>
      <c r="AE16" s="576">
        <f t="shared" si="17"/>
        <v>5566.97</v>
      </c>
      <c r="AF16" s="576">
        <v>5566.97</v>
      </c>
      <c r="AG16" s="577">
        <f t="shared" si="9"/>
        <v>61.63969171483621</v>
      </c>
      <c r="AH16" s="578" t="e">
        <f t="shared" si="18"/>
        <v>#DIV/0!</v>
      </c>
      <c r="AI16" s="579">
        <f t="shared" si="10"/>
        <v>319.90999999999997</v>
      </c>
      <c r="AJ16" s="566">
        <v>0</v>
      </c>
      <c r="AK16" s="566">
        <v>119.91</v>
      </c>
      <c r="AL16" s="566">
        <f>200000/1000</f>
        <v>200</v>
      </c>
      <c r="AM16" s="544">
        <f t="shared" si="11"/>
        <v>0.9957515927375156</v>
      </c>
      <c r="AN16" s="545">
        <f t="shared" si="12"/>
        <v>1.6608316116045627</v>
      </c>
      <c r="AO16" s="580">
        <v>1642.5</v>
      </c>
      <c r="AP16" s="580">
        <v>585.24</v>
      </c>
      <c r="AQ16" s="580">
        <v>1937.83</v>
      </c>
      <c r="AR16" s="580">
        <v>1284.92</v>
      </c>
      <c r="AS16" s="581">
        <f t="shared" si="19"/>
        <v>3580.33</v>
      </c>
      <c r="AT16" s="581">
        <f t="shared" si="19"/>
        <v>1870.16</v>
      </c>
      <c r="AU16" s="582">
        <f t="shared" si="13"/>
        <v>29.73162621988082</v>
      </c>
      <c r="AV16" s="583"/>
      <c r="AW16" s="596"/>
      <c r="AX16" s="585"/>
      <c r="AY16" s="586">
        <f t="shared" si="14"/>
        <v>0</v>
      </c>
      <c r="AZ16" s="587"/>
      <c r="BA16" s="588"/>
      <c r="BB16" s="589"/>
      <c r="BC16" s="590"/>
      <c r="BD16" s="591"/>
      <c r="BE16" s="591"/>
      <c r="BF16" s="591"/>
      <c r="BG16" s="591"/>
      <c r="BH16" s="559"/>
      <c r="BI16" s="592"/>
      <c r="BJ16" s="592"/>
      <c r="BK16" s="592"/>
      <c r="BL16" s="592"/>
      <c r="BM16" s="592"/>
      <c r="BN16" s="592"/>
      <c r="BO16" s="593" t="e">
        <f>#REF!/#REF!</f>
        <v>#REF!</v>
      </c>
    </row>
    <row r="17" spans="1:67" s="593" customFormat="1" ht="15.75" customHeight="1">
      <c r="A17" s="561" t="s">
        <v>256</v>
      </c>
      <c r="B17" s="562">
        <f t="shared" si="5"/>
        <v>0</v>
      </c>
      <c r="C17" s="562">
        <f t="shared" si="6"/>
        <v>0</v>
      </c>
      <c r="D17" s="563">
        <f t="shared" si="7"/>
        <v>4085.3443022547226</v>
      </c>
      <c r="E17" s="563">
        <f t="shared" si="8"/>
        <v>163.98114685831868</v>
      </c>
      <c r="F17" s="564">
        <v>3282</v>
      </c>
      <c r="G17" s="565"/>
      <c r="H17" s="566">
        <v>13408.1</v>
      </c>
      <c r="I17" s="567">
        <v>6983.4</v>
      </c>
      <c r="J17" s="531">
        <f t="shared" si="15"/>
        <v>0.5208344209843303</v>
      </c>
      <c r="K17" s="568">
        <v>3119.7</v>
      </c>
      <c r="L17" s="567">
        <v>2260.7</v>
      </c>
      <c r="M17" s="562">
        <f t="shared" si="16"/>
        <v>23.267278734496312</v>
      </c>
      <c r="N17" s="569">
        <v>2910.4</v>
      </c>
      <c r="O17" s="570">
        <v>2126.3</v>
      </c>
      <c r="P17" s="571">
        <f t="shared" si="0"/>
        <v>0.7305868609125894</v>
      </c>
      <c r="Q17" s="572">
        <v>1647.33</v>
      </c>
      <c r="R17" s="572">
        <v>821.55</v>
      </c>
      <c r="S17" s="571">
        <f t="shared" si="1"/>
        <v>0.49871610424140883</v>
      </c>
      <c r="T17" s="570">
        <v>2673.21</v>
      </c>
      <c r="U17" s="570">
        <v>1680.51</v>
      </c>
      <c r="V17" s="573">
        <f t="shared" si="20"/>
        <v>0.628648703244414</v>
      </c>
      <c r="W17" s="570">
        <v>0</v>
      </c>
      <c r="X17" s="570">
        <v>0</v>
      </c>
      <c r="Y17" s="573" t="e">
        <f t="shared" si="21"/>
        <v>#DIV/0!</v>
      </c>
      <c r="Z17" s="570">
        <v>0</v>
      </c>
      <c r="AA17" s="570">
        <v>0</v>
      </c>
      <c r="AB17" s="573" t="e">
        <f t="shared" si="22"/>
        <v>#DIV/0!</v>
      </c>
      <c r="AC17" s="574" t="e">
        <f>#REF!-H17</f>
        <v>#REF!</v>
      </c>
      <c r="AD17" s="575" t="e">
        <f>#REF!-I17</f>
        <v>#REF!</v>
      </c>
      <c r="AE17" s="576">
        <f t="shared" si="17"/>
        <v>3954.16</v>
      </c>
      <c r="AF17" s="576">
        <v>3954.16</v>
      </c>
      <c r="AG17" s="577">
        <f t="shared" si="9"/>
        <v>710.277269957343</v>
      </c>
      <c r="AH17" s="578" t="e">
        <f t="shared" si="18"/>
        <v>#DIV/0!</v>
      </c>
      <c r="AI17" s="579">
        <f t="shared" si="10"/>
        <v>2331.13</v>
      </c>
      <c r="AJ17" s="566">
        <f>1750/1000</f>
        <v>1.75</v>
      </c>
      <c r="AK17" s="566">
        <v>2215.63</v>
      </c>
      <c r="AL17" s="599">
        <v>113.75</v>
      </c>
      <c r="AM17" s="544">
        <f t="shared" si="11"/>
        <v>16.52456351011702</v>
      </c>
      <c r="AN17" s="545">
        <f t="shared" si="12"/>
        <v>0.8483677776866222</v>
      </c>
      <c r="AO17" s="580">
        <v>923.39</v>
      </c>
      <c r="AP17" s="580">
        <v>208.01</v>
      </c>
      <c r="AQ17" s="580">
        <f>860000/1000</f>
        <v>860</v>
      </c>
      <c r="AR17" s="580">
        <v>113.3</v>
      </c>
      <c r="AS17" s="581">
        <f t="shared" si="19"/>
        <v>1783.3899999999999</v>
      </c>
      <c r="AT17" s="581">
        <f t="shared" si="19"/>
        <v>321.31</v>
      </c>
      <c r="AU17" s="582">
        <f t="shared" si="13"/>
        <v>13.300840536690508</v>
      </c>
      <c r="AV17" s="583"/>
      <c r="AW17" s="596"/>
      <c r="AX17" s="585"/>
      <c r="AY17" s="586">
        <f t="shared" si="14"/>
        <v>0</v>
      </c>
      <c r="AZ17" s="587"/>
      <c r="BA17" s="588"/>
      <c r="BB17" s="589"/>
      <c r="BC17" s="590"/>
      <c r="BD17" s="591"/>
      <c r="BE17" s="591"/>
      <c r="BF17" s="591"/>
      <c r="BG17" s="591"/>
      <c r="BH17" s="559"/>
      <c r="BI17" s="592"/>
      <c r="BJ17" s="592"/>
      <c r="BK17" s="592"/>
      <c r="BL17" s="592"/>
      <c r="BM17" s="592"/>
      <c r="BN17" s="592"/>
      <c r="BO17" s="593" t="e">
        <f>#REF!/#REF!</f>
        <v>#REF!</v>
      </c>
    </row>
    <row r="18" spans="1:67" s="593" customFormat="1" ht="15.75">
      <c r="A18" s="561" t="s">
        <v>257</v>
      </c>
      <c r="B18" s="562">
        <f t="shared" si="5"/>
        <v>0</v>
      </c>
      <c r="C18" s="562">
        <f t="shared" si="6"/>
        <v>0</v>
      </c>
      <c r="D18" s="563">
        <f>H18/F18*1000</f>
        <v>3203.681638789701</v>
      </c>
      <c r="E18" s="563">
        <f t="shared" si="8"/>
        <v>128.59219454471275</v>
      </c>
      <c r="F18" s="564">
        <v>5321</v>
      </c>
      <c r="G18" s="565"/>
      <c r="H18" s="566">
        <v>17046.79</v>
      </c>
      <c r="I18" s="567">
        <v>13446.26</v>
      </c>
      <c r="J18" s="531">
        <f t="shared" si="15"/>
        <v>0.7887854546222485</v>
      </c>
      <c r="K18" s="568">
        <v>3274.9</v>
      </c>
      <c r="L18" s="567">
        <v>2260.1</v>
      </c>
      <c r="M18" s="562">
        <f t="shared" si="16"/>
        <v>19.211241529930266</v>
      </c>
      <c r="N18" s="569">
        <v>3270</v>
      </c>
      <c r="O18" s="570">
        <v>2258.4</v>
      </c>
      <c r="P18" s="571">
        <f t="shared" si="0"/>
        <v>0.6906422018348625</v>
      </c>
      <c r="Q18" s="572">
        <v>1698.04</v>
      </c>
      <c r="R18" s="572">
        <v>1049.7</v>
      </c>
      <c r="S18" s="571">
        <f t="shared" si="1"/>
        <v>0.6181833172363431</v>
      </c>
      <c r="T18" s="570">
        <v>818.3</v>
      </c>
      <c r="U18" s="570">
        <v>813.52</v>
      </c>
      <c r="V18" s="573">
        <f t="shared" si="20"/>
        <v>0.9941586215324454</v>
      </c>
      <c r="W18" s="570">
        <f>90000/1000</f>
        <v>90</v>
      </c>
      <c r="X18" s="570">
        <f>90000/1000</f>
        <v>90</v>
      </c>
      <c r="Y18" s="573">
        <f t="shared" si="21"/>
        <v>1</v>
      </c>
      <c r="Z18" s="570">
        <f>1813253.47/1000</f>
        <v>1813.2534699999999</v>
      </c>
      <c r="AA18" s="570">
        <v>1600</v>
      </c>
      <c r="AB18" s="573">
        <f t="shared" si="22"/>
        <v>0.8823918037228409</v>
      </c>
      <c r="AC18" s="574" t="e">
        <f>#REF!-H18</f>
        <v>#REF!</v>
      </c>
      <c r="AD18" s="575" t="e">
        <f>#REF!-I18</f>
        <v>#REF!</v>
      </c>
      <c r="AE18" s="576">
        <f t="shared" si="17"/>
        <v>6932.73</v>
      </c>
      <c r="AF18" s="576">
        <v>6932.73</v>
      </c>
      <c r="AG18" s="577">
        <f t="shared" si="9"/>
        <v>530.1822965607969</v>
      </c>
      <c r="AH18" s="578" t="e">
        <f t="shared" si="18"/>
        <v>#DIV/0!</v>
      </c>
      <c r="AI18" s="579">
        <f t="shared" si="10"/>
        <v>2821.1</v>
      </c>
      <c r="AJ18" s="566">
        <f>10000/1000</f>
        <v>10</v>
      </c>
      <c r="AK18" s="566">
        <v>1914.11</v>
      </c>
      <c r="AL18" s="566">
        <v>896.99</v>
      </c>
      <c r="AM18" s="544">
        <f t="shared" si="11"/>
        <v>11.228565612646134</v>
      </c>
      <c r="AN18" s="545">
        <f t="shared" si="12"/>
        <v>5.2619290787297786</v>
      </c>
      <c r="AO18" s="580">
        <v>1134.68</v>
      </c>
      <c r="AP18" s="580">
        <v>772.6</v>
      </c>
      <c r="AQ18" s="580">
        <v>1478.04</v>
      </c>
      <c r="AR18" s="580">
        <v>1444.28</v>
      </c>
      <c r="AS18" s="581">
        <f t="shared" si="19"/>
        <v>2612.7200000000003</v>
      </c>
      <c r="AT18" s="581">
        <f t="shared" si="19"/>
        <v>2216.88</v>
      </c>
      <c r="AU18" s="582">
        <f t="shared" si="13"/>
        <v>15.326756533048158</v>
      </c>
      <c r="AV18" s="583"/>
      <c r="AW18" s="596"/>
      <c r="AX18" s="585"/>
      <c r="AY18" s="586">
        <f t="shared" si="14"/>
        <v>0</v>
      </c>
      <c r="AZ18" s="587"/>
      <c r="BA18" s="588"/>
      <c r="BB18" s="589"/>
      <c r="BC18" s="590"/>
      <c r="BD18" s="591"/>
      <c r="BE18" s="591"/>
      <c r="BF18" s="591"/>
      <c r="BG18" s="591"/>
      <c r="BH18" s="559"/>
      <c r="BI18" s="592"/>
      <c r="BJ18" s="592"/>
      <c r="BK18" s="592"/>
      <c r="BL18" s="592"/>
      <c r="BM18" s="592"/>
      <c r="BN18" s="592"/>
      <c r="BO18" s="593" t="e">
        <f>#REF!/#REF!</f>
        <v>#REF!</v>
      </c>
    </row>
    <row r="19" spans="1:67" s="593" customFormat="1" ht="15.75">
      <c r="A19" s="561" t="s">
        <v>258</v>
      </c>
      <c r="B19" s="562">
        <f t="shared" si="5"/>
        <v>0</v>
      </c>
      <c r="C19" s="562">
        <f t="shared" si="6"/>
        <v>0</v>
      </c>
      <c r="D19" s="563">
        <f t="shared" si="7"/>
        <v>3941.5535592964447</v>
      </c>
      <c r="E19" s="563">
        <f t="shared" si="8"/>
        <v>158.20954740588215</v>
      </c>
      <c r="F19" s="564">
        <v>13247</v>
      </c>
      <c r="G19" s="565"/>
      <c r="H19" s="566">
        <v>52213.76</v>
      </c>
      <c r="I19" s="567">
        <v>36114.55</v>
      </c>
      <c r="J19" s="531">
        <f t="shared" si="15"/>
        <v>0.6916672922999608</v>
      </c>
      <c r="K19" s="568">
        <v>4610.3</v>
      </c>
      <c r="L19" s="567">
        <v>2943.6</v>
      </c>
      <c r="M19" s="562">
        <f t="shared" si="16"/>
        <v>8.829664823985095</v>
      </c>
      <c r="N19" s="569">
        <v>4103.2</v>
      </c>
      <c r="O19" s="570">
        <v>2709.4</v>
      </c>
      <c r="P19" s="571">
        <f t="shared" si="0"/>
        <v>0.6603139013452916</v>
      </c>
      <c r="Q19" s="572">
        <v>3205.82</v>
      </c>
      <c r="R19" s="572">
        <v>1224.96</v>
      </c>
      <c r="S19" s="571">
        <f t="shared" si="1"/>
        <v>0.3821050464467749</v>
      </c>
      <c r="T19" s="600">
        <v>3322.89</v>
      </c>
      <c r="U19" s="570">
        <v>1011</v>
      </c>
      <c r="V19" s="573">
        <f t="shared" si="20"/>
        <v>0.30425322535503735</v>
      </c>
      <c r="W19" s="570">
        <f>2105263.16/1000</f>
        <v>2105.26316</v>
      </c>
      <c r="X19" s="570">
        <v>0</v>
      </c>
      <c r="Y19" s="573">
        <f t="shared" si="21"/>
        <v>0</v>
      </c>
      <c r="Z19" s="570">
        <v>0</v>
      </c>
      <c r="AA19" s="570">
        <v>0</v>
      </c>
      <c r="AB19" s="573" t="e">
        <f t="shared" si="22"/>
        <v>#DIV/0!</v>
      </c>
      <c r="AC19" s="574" t="e">
        <f>#REF!-H19</f>
        <v>#REF!</v>
      </c>
      <c r="AD19" s="575" t="e">
        <f>#REF!-I19</f>
        <v>#REF!</v>
      </c>
      <c r="AE19" s="576">
        <f t="shared" si="17"/>
        <v>7623.05</v>
      </c>
      <c r="AF19" s="576">
        <v>7623.05</v>
      </c>
      <c r="AG19" s="577">
        <f t="shared" si="9"/>
        <v>345.67147278629125</v>
      </c>
      <c r="AH19" s="578" t="e">
        <f t="shared" si="18"/>
        <v>#DIV/0!</v>
      </c>
      <c r="AI19" s="579">
        <f t="shared" si="10"/>
        <v>4579.11</v>
      </c>
      <c r="AJ19" s="566">
        <v>327</v>
      </c>
      <c r="AK19" s="566">
        <v>2921.41</v>
      </c>
      <c r="AL19" s="566">
        <f>1330700/1000</f>
        <v>1330.7</v>
      </c>
      <c r="AM19" s="544">
        <f t="shared" si="11"/>
        <v>5.5950960053441845</v>
      </c>
      <c r="AN19" s="545">
        <f t="shared" si="12"/>
        <v>2.548561911649343</v>
      </c>
      <c r="AO19" s="580">
        <v>4143.22</v>
      </c>
      <c r="AP19" s="580">
        <v>2569.62</v>
      </c>
      <c r="AQ19" s="580">
        <v>27381.67</v>
      </c>
      <c r="AR19" s="580">
        <v>20761.46</v>
      </c>
      <c r="AS19" s="581">
        <f t="shared" si="19"/>
        <v>31524.89</v>
      </c>
      <c r="AT19" s="581">
        <f t="shared" si="19"/>
        <v>23331.079999999998</v>
      </c>
      <c r="AU19" s="582">
        <f t="shared" si="13"/>
        <v>60.3765942157776</v>
      </c>
      <c r="AV19" s="583"/>
      <c r="AW19" s="596"/>
      <c r="AX19" s="585"/>
      <c r="AY19" s="586">
        <f t="shared" si="14"/>
        <v>0</v>
      </c>
      <c r="AZ19" s="587"/>
      <c r="BA19" s="588"/>
      <c r="BB19" s="589"/>
      <c r="BC19" s="590"/>
      <c r="BD19" s="591"/>
      <c r="BE19" s="591"/>
      <c r="BF19" s="591"/>
      <c r="BG19" s="591"/>
      <c r="BH19" s="559"/>
      <c r="BI19" s="592"/>
      <c r="BJ19" s="592"/>
      <c r="BK19" s="592"/>
      <c r="BL19" s="592"/>
      <c r="BM19" s="592"/>
      <c r="BN19" s="592"/>
      <c r="BO19" s="593" t="e">
        <f>#REF!/#REF!</f>
        <v>#REF!</v>
      </c>
    </row>
    <row r="20" spans="1:67" s="593" customFormat="1" ht="16.5" customHeight="1">
      <c r="A20" s="561" t="s">
        <v>259</v>
      </c>
      <c r="B20" s="562">
        <f t="shared" si="5"/>
        <v>0</v>
      </c>
      <c r="C20" s="562">
        <f t="shared" si="6"/>
        <v>0</v>
      </c>
      <c r="D20" s="563">
        <f t="shared" si="7"/>
        <v>5308.0177968702055</v>
      </c>
      <c r="E20" s="563">
        <f t="shared" si="8"/>
        <v>213.0578921817571</v>
      </c>
      <c r="F20" s="564">
        <v>3259</v>
      </c>
      <c r="G20" s="565"/>
      <c r="H20" s="566">
        <v>17298.83</v>
      </c>
      <c r="I20" s="567">
        <v>9426.66</v>
      </c>
      <c r="J20" s="531">
        <f t="shared" si="15"/>
        <v>0.544930495299393</v>
      </c>
      <c r="K20" s="568">
        <v>2625</v>
      </c>
      <c r="L20" s="567">
        <v>2112.1</v>
      </c>
      <c r="M20" s="562">
        <f t="shared" si="16"/>
        <v>15.17443665265223</v>
      </c>
      <c r="N20" s="569">
        <v>2491.4</v>
      </c>
      <c r="O20" s="570">
        <v>2035</v>
      </c>
      <c r="P20" s="571">
        <f t="shared" si="0"/>
        <v>0.8168098258007546</v>
      </c>
      <c r="Q20" s="572">
        <v>392.14</v>
      </c>
      <c r="R20" s="572">
        <v>84.61</v>
      </c>
      <c r="S20" s="571">
        <f t="shared" si="1"/>
        <v>0.2157647778854491</v>
      </c>
      <c r="T20" s="600">
        <v>4785.13</v>
      </c>
      <c r="U20" s="600">
        <v>439.48</v>
      </c>
      <c r="V20" s="573">
        <f t="shared" si="20"/>
        <v>0.09184285484406902</v>
      </c>
      <c r="W20" s="570">
        <v>4272.75</v>
      </c>
      <c r="X20" s="600">
        <v>0</v>
      </c>
      <c r="Y20" s="573">
        <f t="shared" si="21"/>
        <v>0</v>
      </c>
      <c r="Z20" s="570">
        <v>0</v>
      </c>
      <c r="AA20" s="600">
        <v>0</v>
      </c>
      <c r="AB20" s="573" t="e">
        <f t="shared" si="22"/>
        <v>#DIV/0!</v>
      </c>
      <c r="AC20" s="574" t="e">
        <f>#REF!-H20</f>
        <v>#REF!</v>
      </c>
      <c r="AD20" s="575" t="e">
        <f>#REF!-I20</f>
        <v>#REF!</v>
      </c>
      <c r="AE20" s="576">
        <f t="shared" si="17"/>
        <v>4826.26</v>
      </c>
      <c r="AF20" s="576">
        <v>4826.26</v>
      </c>
      <c r="AG20" s="577">
        <f t="shared" si="9"/>
        <v>141.48504449217552</v>
      </c>
      <c r="AH20" s="578" t="e">
        <f t="shared" si="18"/>
        <v>#DIV/0!</v>
      </c>
      <c r="AI20" s="579">
        <f t="shared" si="10"/>
        <v>461.09976</v>
      </c>
      <c r="AJ20" s="599">
        <v>0</v>
      </c>
      <c r="AK20" s="566">
        <f>365719.76/1000</f>
        <v>365.71976</v>
      </c>
      <c r="AL20" s="599">
        <f>95380/1000</f>
        <v>95.38</v>
      </c>
      <c r="AM20" s="544">
        <f t="shared" si="11"/>
        <v>2.1141300307593056</v>
      </c>
      <c r="AN20" s="545">
        <f t="shared" si="12"/>
        <v>0.5513667687352265</v>
      </c>
      <c r="AO20" s="580">
        <v>920.26</v>
      </c>
      <c r="AP20" s="580">
        <v>666.31</v>
      </c>
      <c r="AQ20" s="580">
        <v>2940.54</v>
      </c>
      <c r="AR20" s="580">
        <v>1910.19</v>
      </c>
      <c r="AS20" s="581">
        <f t="shared" si="19"/>
        <v>3860.8</v>
      </c>
      <c r="AT20" s="581">
        <f t="shared" si="19"/>
        <v>2576.5</v>
      </c>
      <c r="AU20" s="582">
        <f t="shared" si="13"/>
        <v>22.318272391832277</v>
      </c>
      <c r="AV20" s="583"/>
      <c r="AW20" s="596"/>
      <c r="AX20" s="585"/>
      <c r="AY20" s="586">
        <f t="shared" si="14"/>
        <v>0</v>
      </c>
      <c r="AZ20" s="587"/>
      <c r="BA20" s="588"/>
      <c r="BB20" s="589"/>
      <c r="BC20" s="590"/>
      <c r="BD20" s="591"/>
      <c r="BE20" s="591"/>
      <c r="BF20" s="591"/>
      <c r="BG20" s="591"/>
      <c r="BH20" s="559"/>
      <c r="BI20" s="592"/>
      <c r="BJ20" s="592"/>
      <c r="BK20" s="592"/>
      <c r="BL20" s="592"/>
      <c r="BM20" s="592"/>
      <c r="BN20" s="592"/>
      <c r="BO20" s="593" t="e">
        <f>#REF!/#REF!</f>
        <v>#REF!</v>
      </c>
    </row>
    <row r="21" spans="1:67" s="593" customFormat="1" ht="15.75">
      <c r="A21" s="561" t="s">
        <v>260</v>
      </c>
      <c r="B21" s="562">
        <f t="shared" si="5"/>
        <v>0</v>
      </c>
      <c r="C21" s="562">
        <f t="shared" si="6"/>
        <v>0</v>
      </c>
      <c r="D21" s="563">
        <f t="shared" si="7"/>
        <v>2929.970135538709</v>
      </c>
      <c r="E21" s="563">
        <f t="shared" si="8"/>
        <v>117.60572121695904</v>
      </c>
      <c r="F21" s="564">
        <v>4353</v>
      </c>
      <c r="G21" s="565"/>
      <c r="H21" s="566">
        <v>12754.16</v>
      </c>
      <c r="I21" s="567">
        <v>8029.63</v>
      </c>
      <c r="J21" s="531">
        <f t="shared" si="15"/>
        <v>0.6295694894842153</v>
      </c>
      <c r="K21" s="568">
        <v>2579.6</v>
      </c>
      <c r="L21" s="567">
        <v>1877.7</v>
      </c>
      <c r="M21" s="562">
        <f t="shared" si="16"/>
        <v>20.22555777879531</v>
      </c>
      <c r="N21" s="569">
        <v>2548.4</v>
      </c>
      <c r="O21" s="570">
        <v>1855.6</v>
      </c>
      <c r="P21" s="571">
        <f t="shared" si="0"/>
        <v>0.7281431486422852</v>
      </c>
      <c r="Q21" s="572">
        <v>1257.77</v>
      </c>
      <c r="R21" s="572">
        <v>676.72</v>
      </c>
      <c r="S21" s="571">
        <f t="shared" si="1"/>
        <v>0.5380315956017396</v>
      </c>
      <c r="T21" s="600">
        <v>368.88</v>
      </c>
      <c r="U21" s="570">
        <v>368.88</v>
      </c>
      <c r="V21" s="573">
        <f t="shared" si="20"/>
        <v>1</v>
      </c>
      <c r="W21" s="570">
        <v>0</v>
      </c>
      <c r="X21" s="570">
        <v>0</v>
      </c>
      <c r="Y21" s="573" t="e">
        <f t="shared" si="21"/>
        <v>#DIV/0!</v>
      </c>
      <c r="Z21" s="570">
        <v>2240.8</v>
      </c>
      <c r="AA21" s="570">
        <v>2231.53</v>
      </c>
      <c r="AB21" s="573">
        <f t="shared" si="22"/>
        <v>0.9958630846126384</v>
      </c>
      <c r="AC21" s="574" t="e">
        <f>#REF!-H21</f>
        <v>#REF!</v>
      </c>
      <c r="AD21" s="575" t="e">
        <f>#REF!-I21</f>
        <v>#REF!</v>
      </c>
      <c r="AE21" s="576">
        <f t="shared" si="17"/>
        <v>4444.931</v>
      </c>
      <c r="AF21" s="576">
        <f>4444931/1000</f>
        <v>4444.931</v>
      </c>
      <c r="AG21" s="577">
        <f t="shared" si="9"/>
        <v>401.9595681139444</v>
      </c>
      <c r="AH21" s="578" t="e">
        <f t="shared" si="18"/>
        <v>#DIV/0!</v>
      </c>
      <c r="AI21" s="579">
        <f t="shared" si="10"/>
        <v>1749.73</v>
      </c>
      <c r="AJ21" s="566">
        <v>4.5</v>
      </c>
      <c r="AK21" s="566">
        <v>1740.42</v>
      </c>
      <c r="AL21" s="566">
        <v>4.81</v>
      </c>
      <c r="AM21" s="544">
        <f t="shared" si="11"/>
        <v>13.64590063163705</v>
      </c>
      <c r="AN21" s="545">
        <f t="shared" si="12"/>
        <v>0.03771318534501684</v>
      </c>
      <c r="AO21" s="580">
        <v>1019.73</v>
      </c>
      <c r="AP21" s="580">
        <v>839.77</v>
      </c>
      <c r="AQ21" s="580">
        <v>1161.19</v>
      </c>
      <c r="AR21" s="580">
        <v>710.4</v>
      </c>
      <c r="AS21" s="581">
        <f t="shared" si="19"/>
        <v>2180.92</v>
      </c>
      <c r="AT21" s="581">
        <f t="shared" si="19"/>
        <v>1550.17</v>
      </c>
      <c r="AU21" s="582">
        <f t="shared" si="13"/>
        <v>17.099675713649507</v>
      </c>
      <c r="AV21" s="583"/>
      <c r="AW21" s="596"/>
      <c r="AX21" s="585"/>
      <c r="AY21" s="586">
        <f t="shared" si="14"/>
        <v>0</v>
      </c>
      <c r="AZ21" s="587"/>
      <c r="BA21" s="588"/>
      <c r="BB21" s="589"/>
      <c r="BC21" s="590"/>
      <c r="BD21" s="591"/>
      <c r="BE21" s="591"/>
      <c r="BF21" s="591"/>
      <c r="BG21" s="591"/>
      <c r="BH21" s="559"/>
      <c r="BI21" s="592"/>
      <c r="BJ21" s="592"/>
      <c r="BK21" s="592"/>
      <c r="BL21" s="592"/>
      <c r="BM21" s="592"/>
      <c r="BN21" s="592"/>
      <c r="BO21" s="593" t="e">
        <f>#REF!/#REF!</f>
        <v>#REF!</v>
      </c>
    </row>
    <row r="22" spans="1:67" s="593" customFormat="1" ht="17.25" customHeight="1">
      <c r="A22" s="561" t="s">
        <v>261</v>
      </c>
      <c r="B22" s="562">
        <f t="shared" si="5"/>
        <v>0</v>
      </c>
      <c r="C22" s="562">
        <f t="shared" si="6"/>
        <v>0</v>
      </c>
      <c r="D22" s="563">
        <f t="shared" si="7"/>
        <v>4749.71932349766</v>
      </c>
      <c r="E22" s="563">
        <f t="shared" si="8"/>
        <v>190.648416460861</v>
      </c>
      <c r="F22" s="564">
        <v>2779</v>
      </c>
      <c r="G22" s="565"/>
      <c r="H22" s="566">
        <v>13199.47</v>
      </c>
      <c r="I22" s="567">
        <v>8426.02</v>
      </c>
      <c r="J22" s="531">
        <f t="shared" si="15"/>
        <v>0.6383604796253184</v>
      </c>
      <c r="K22" s="568">
        <v>2546.3</v>
      </c>
      <c r="L22" s="567">
        <v>1827.7</v>
      </c>
      <c r="M22" s="562">
        <f t="shared" si="16"/>
        <v>19.290926075062107</v>
      </c>
      <c r="N22" s="569">
        <v>2544.2</v>
      </c>
      <c r="O22" s="570">
        <v>1827.7</v>
      </c>
      <c r="P22" s="571">
        <f t="shared" si="0"/>
        <v>0.7183790582501376</v>
      </c>
      <c r="Q22" s="572">
        <v>1355.67</v>
      </c>
      <c r="R22" s="572">
        <v>762.59</v>
      </c>
      <c r="S22" s="571">
        <f t="shared" si="1"/>
        <v>0.5625189020926922</v>
      </c>
      <c r="T22" s="600">
        <v>559.81</v>
      </c>
      <c r="U22" s="570">
        <v>342.48</v>
      </c>
      <c r="V22" s="573">
        <f t="shared" si="20"/>
        <v>0.6117789964452226</v>
      </c>
      <c r="W22" s="570">
        <v>0</v>
      </c>
      <c r="X22" s="570">
        <v>0</v>
      </c>
      <c r="Y22" s="573" t="e">
        <f t="shared" si="21"/>
        <v>#DIV/0!</v>
      </c>
      <c r="Z22" s="570">
        <v>0</v>
      </c>
      <c r="AA22" s="570">
        <v>0</v>
      </c>
      <c r="AB22" s="573" t="e">
        <f t="shared" si="22"/>
        <v>#DIV/0!</v>
      </c>
      <c r="AC22" s="574" t="e">
        <f>#REF!-H22</f>
        <v>#REF!</v>
      </c>
      <c r="AD22" s="575" t="e">
        <f>#REF!-I22</f>
        <v>#REF!</v>
      </c>
      <c r="AE22" s="576">
        <f t="shared" si="17"/>
        <v>5119.95</v>
      </c>
      <c r="AF22" s="576">
        <v>5119.95</v>
      </c>
      <c r="AG22" s="577">
        <f t="shared" si="9"/>
        <v>613.8603814321699</v>
      </c>
      <c r="AH22" s="578" t="e">
        <f t="shared" si="18"/>
        <v>#DIV/0!</v>
      </c>
      <c r="AI22" s="579">
        <f t="shared" si="10"/>
        <v>1705.9180000000001</v>
      </c>
      <c r="AJ22" s="566">
        <v>32.21</v>
      </c>
      <c r="AK22" s="566">
        <v>1608.26</v>
      </c>
      <c r="AL22" s="566">
        <f>65448/1000</f>
        <v>65.448</v>
      </c>
      <c r="AM22" s="544">
        <f t="shared" si="11"/>
        <v>12.18427709597431</v>
      </c>
      <c r="AN22" s="545">
        <f t="shared" si="12"/>
        <v>0.49583809046878397</v>
      </c>
      <c r="AO22" s="580">
        <v>960.35</v>
      </c>
      <c r="AP22" s="580">
        <v>421.7</v>
      </c>
      <c r="AQ22" s="580">
        <v>1739.45</v>
      </c>
      <c r="AR22" s="580">
        <v>1100.46</v>
      </c>
      <c r="AS22" s="581">
        <f t="shared" si="19"/>
        <v>2699.8</v>
      </c>
      <c r="AT22" s="581">
        <f t="shared" si="19"/>
        <v>1522.16</v>
      </c>
      <c r="AU22" s="582">
        <f t="shared" si="13"/>
        <v>20.453851556160966</v>
      </c>
      <c r="AV22" s="583"/>
      <c r="AW22" s="596"/>
      <c r="AX22" s="585"/>
      <c r="AY22" s="586">
        <f t="shared" si="14"/>
        <v>0</v>
      </c>
      <c r="AZ22" s="587"/>
      <c r="BA22" s="588"/>
      <c r="BB22" s="589"/>
      <c r="BC22" s="590"/>
      <c r="BD22" s="591"/>
      <c r="BE22" s="591"/>
      <c r="BF22" s="591"/>
      <c r="BG22" s="591"/>
      <c r="BH22" s="559"/>
      <c r="BI22" s="594"/>
      <c r="BJ22" s="592"/>
      <c r="BK22" s="592"/>
      <c r="BL22" s="592"/>
      <c r="BM22" s="592"/>
      <c r="BN22" s="592"/>
      <c r="BO22" s="593" t="e">
        <f>#REF!/#REF!</f>
        <v>#REF!</v>
      </c>
    </row>
    <row r="23" spans="1:67" s="593" customFormat="1" ht="15.75">
      <c r="A23" s="561" t="s">
        <v>262</v>
      </c>
      <c r="B23" s="562">
        <f t="shared" si="5"/>
        <v>0</v>
      </c>
      <c r="C23" s="562">
        <f t="shared" si="6"/>
        <v>0</v>
      </c>
      <c r="D23" s="563">
        <f t="shared" si="7"/>
        <v>2958.293193717277</v>
      </c>
      <c r="E23" s="563">
        <f t="shared" si="8"/>
        <v>118.74257706533714</v>
      </c>
      <c r="F23" s="564">
        <v>6685</v>
      </c>
      <c r="G23" s="565"/>
      <c r="H23" s="566">
        <v>19776.19</v>
      </c>
      <c r="I23" s="567">
        <v>12462.19</v>
      </c>
      <c r="J23" s="531">
        <f t="shared" si="15"/>
        <v>0.6301613202543058</v>
      </c>
      <c r="K23" s="568">
        <v>3077.9</v>
      </c>
      <c r="L23" s="567">
        <v>2129.5</v>
      </c>
      <c r="M23" s="562">
        <f t="shared" si="16"/>
        <v>15.563665195368776</v>
      </c>
      <c r="N23" s="569">
        <v>3009.8</v>
      </c>
      <c r="O23" s="570">
        <v>2080</v>
      </c>
      <c r="P23" s="571">
        <f t="shared" si="0"/>
        <v>0.6910758189912951</v>
      </c>
      <c r="Q23" s="572">
        <v>1306.05</v>
      </c>
      <c r="R23" s="572">
        <v>638.75</v>
      </c>
      <c r="S23" s="571">
        <f t="shared" si="1"/>
        <v>0.48907009685693503</v>
      </c>
      <c r="T23" s="600">
        <v>4992.76</v>
      </c>
      <c r="U23" s="570">
        <v>4498.03</v>
      </c>
      <c r="V23" s="573">
        <f t="shared" si="20"/>
        <v>0.9009105184306876</v>
      </c>
      <c r="W23" s="570">
        <v>4211</v>
      </c>
      <c r="X23" s="570">
        <v>3985.16</v>
      </c>
      <c r="Y23" s="573">
        <f t="shared" si="21"/>
        <v>0.946369033483733</v>
      </c>
      <c r="Z23" s="570">
        <v>0</v>
      </c>
      <c r="AA23" s="570">
        <v>0</v>
      </c>
      <c r="AB23" s="573" t="e">
        <f t="shared" si="22"/>
        <v>#DIV/0!</v>
      </c>
      <c r="AC23" s="574" t="e">
        <f>#REF!-H23</f>
        <v>#REF!</v>
      </c>
      <c r="AD23" s="575" t="e">
        <f>#REF!-I23</f>
        <v>#REF!</v>
      </c>
      <c r="AE23" s="576">
        <f t="shared" si="17"/>
        <v>5364.52</v>
      </c>
      <c r="AF23" s="576">
        <v>5364.52</v>
      </c>
      <c r="AG23" s="577">
        <f t="shared" si="9"/>
        <v>100.92296185489904</v>
      </c>
      <c r="AH23" s="578" t="e">
        <f t="shared" si="18"/>
        <v>#DIV/0!</v>
      </c>
      <c r="AI23" s="579">
        <f t="shared" si="10"/>
        <v>674.6700000000001</v>
      </c>
      <c r="AJ23" s="599">
        <v>0</v>
      </c>
      <c r="AK23" s="566">
        <v>281.55</v>
      </c>
      <c r="AL23" s="566">
        <v>393.12</v>
      </c>
      <c r="AM23" s="544">
        <f t="shared" si="11"/>
        <v>1.4236817101777441</v>
      </c>
      <c r="AN23" s="545">
        <f t="shared" si="12"/>
        <v>1.9878449792401875</v>
      </c>
      <c r="AO23" s="580">
        <v>412.54</v>
      </c>
      <c r="AP23" s="580">
        <v>227.65</v>
      </c>
      <c r="AQ23" s="580">
        <v>2403.31</v>
      </c>
      <c r="AR23" s="580">
        <v>467.76</v>
      </c>
      <c r="AS23" s="581">
        <f t="shared" si="19"/>
        <v>2815.85</v>
      </c>
      <c r="AT23" s="581">
        <f t="shared" si="19"/>
        <v>695.41</v>
      </c>
      <c r="AU23" s="582">
        <f t="shared" si="13"/>
        <v>14.238586906780327</v>
      </c>
      <c r="AV23" s="583"/>
      <c r="AW23" s="596"/>
      <c r="AX23" s="585"/>
      <c r="AY23" s="586">
        <f t="shared" si="14"/>
        <v>0</v>
      </c>
      <c r="AZ23" s="587"/>
      <c r="BA23" s="588"/>
      <c r="BB23" s="589"/>
      <c r="BC23" s="590"/>
      <c r="BD23" s="591"/>
      <c r="BE23" s="591"/>
      <c r="BF23" s="591"/>
      <c r="BG23" s="591"/>
      <c r="BH23" s="559"/>
      <c r="BI23" s="594"/>
      <c r="BJ23" s="594"/>
      <c r="BK23" s="592"/>
      <c r="BL23" s="592"/>
      <c r="BM23" s="592"/>
      <c r="BN23" s="592"/>
      <c r="BO23" s="593" t="e">
        <f>#REF!/#REF!</f>
        <v>#REF!</v>
      </c>
    </row>
    <row r="24" spans="1:67" s="593" customFormat="1" ht="15.75">
      <c r="A24" s="561" t="s">
        <v>263</v>
      </c>
      <c r="B24" s="562">
        <f t="shared" si="5"/>
        <v>0</v>
      </c>
      <c r="C24" s="562">
        <f t="shared" si="6"/>
        <v>0</v>
      </c>
      <c r="D24" s="563">
        <f t="shared" si="7"/>
        <v>3551.0725893824483</v>
      </c>
      <c r="E24" s="563">
        <f t="shared" si="8"/>
        <v>142.53607840658472</v>
      </c>
      <c r="F24" s="564">
        <v>1846</v>
      </c>
      <c r="G24" s="565"/>
      <c r="H24" s="566">
        <v>6555.28</v>
      </c>
      <c r="I24" s="567">
        <v>4018.12</v>
      </c>
      <c r="J24" s="531">
        <f t="shared" si="15"/>
        <v>0.6129593243919406</v>
      </c>
      <c r="K24" s="568">
        <v>2103.3</v>
      </c>
      <c r="L24" s="567">
        <v>1742.2</v>
      </c>
      <c r="M24" s="562">
        <f t="shared" si="16"/>
        <v>32.08558597039334</v>
      </c>
      <c r="N24" s="569">
        <v>2050.3</v>
      </c>
      <c r="O24" s="570">
        <v>1704.6</v>
      </c>
      <c r="P24" s="571">
        <f t="shared" si="0"/>
        <v>0.831390528215383</v>
      </c>
      <c r="Q24" s="572">
        <v>779.11</v>
      </c>
      <c r="R24" s="572">
        <v>424.17</v>
      </c>
      <c r="S24" s="571">
        <f t="shared" si="1"/>
        <v>0.5444288996418991</v>
      </c>
      <c r="T24" s="600">
        <v>243.55</v>
      </c>
      <c r="U24" s="570">
        <v>0</v>
      </c>
      <c r="V24" s="573">
        <f t="shared" si="20"/>
        <v>0</v>
      </c>
      <c r="W24" s="570">
        <v>0</v>
      </c>
      <c r="X24" s="570">
        <v>0</v>
      </c>
      <c r="Y24" s="573" t="e">
        <f t="shared" si="21"/>
        <v>#DIV/0!</v>
      </c>
      <c r="Z24" s="570">
        <v>0</v>
      </c>
      <c r="AA24" s="570">
        <v>0</v>
      </c>
      <c r="AB24" s="573" t="e">
        <f t="shared" si="22"/>
        <v>#DIV/0!</v>
      </c>
      <c r="AC24" s="574" t="e">
        <f>#REF!-H24</f>
        <v>#REF!</v>
      </c>
      <c r="AD24" s="575" t="e">
        <f>#REF!-I24</f>
        <v>#REF!</v>
      </c>
      <c r="AE24" s="576">
        <f t="shared" si="17"/>
        <v>3271.063</v>
      </c>
      <c r="AF24" s="576">
        <f>3271063/1000</f>
        <v>3271.063</v>
      </c>
      <c r="AG24" s="577">
        <f t="shared" si="9"/>
        <v>363.7811484290358</v>
      </c>
      <c r="AH24" s="578" t="e">
        <f t="shared" si="18"/>
        <v>#DIV/0!</v>
      </c>
      <c r="AI24" s="579">
        <f t="shared" si="10"/>
        <v>671.5400000000001</v>
      </c>
      <c r="AJ24" s="566">
        <v>29.08</v>
      </c>
      <c r="AK24" s="566">
        <v>618.99</v>
      </c>
      <c r="AL24" s="566">
        <v>23.47</v>
      </c>
      <c r="AM24" s="544">
        <f t="shared" si="11"/>
        <v>9.44261724899623</v>
      </c>
      <c r="AN24" s="545">
        <f t="shared" si="12"/>
        <v>0.3580319986331629</v>
      </c>
      <c r="AO24" s="580">
        <f>62780/1000</f>
        <v>62.78</v>
      </c>
      <c r="AP24" s="580">
        <v>14.57</v>
      </c>
      <c r="AQ24" s="580">
        <f>640000/1000</f>
        <v>640</v>
      </c>
      <c r="AR24" s="580">
        <v>254.69</v>
      </c>
      <c r="AS24" s="581">
        <f t="shared" si="19"/>
        <v>702.78</v>
      </c>
      <c r="AT24" s="581">
        <f t="shared" si="19"/>
        <v>269.26</v>
      </c>
      <c r="AU24" s="582">
        <f t="shared" si="13"/>
        <v>10.720823519361492</v>
      </c>
      <c r="AV24" s="583"/>
      <c r="AW24" s="596"/>
      <c r="AX24" s="585"/>
      <c r="AY24" s="586">
        <f t="shared" si="14"/>
        <v>0</v>
      </c>
      <c r="AZ24" s="587"/>
      <c r="BA24" s="588"/>
      <c r="BB24" s="589"/>
      <c r="BC24" s="590"/>
      <c r="BD24" s="591"/>
      <c r="BE24" s="591"/>
      <c r="BF24" s="591"/>
      <c r="BG24" s="591"/>
      <c r="BH24" s="559"/>
      <c r="BI24" s="594"/>
      <c r="BJ24" s="592"/>
      <c r="BK24" s="592"/>
      <c r="BL24" s="592"/>
      <c r="BM24" s="592"/>
      <c r="BN24" s="592"/>
      <c r="BO24" s="593" t="e">
        <f>#REF!/#REF!</f>
        <v>#REF!</v>
      </c>
    </row>
    <row r="25" spans="1:67" s="593" customFormat="1" ht="15.75">
      <c r="A25" s="561" t="s">
        <v>264</v>
      </c>
      <c r="B25" s="562">
        <f t="shared" si="5"/>
        <v>0</v>
      </c>
      <c r="C25" s="562">
        <f t="shared" si="6"/>
        <v>0</v>
      </c>
      <c r="D25" s="563">
        <f t="shared" si="7"/>
        <v>4964.874307626757</v>
      </c>
      <c r="E25" s="563">
        <f t="shared" si="8"/>
        <v>199.2844966635261</v>
      </c>
      <c r="F25" s="564">
        <v>2347</v>
      </c>
      <c r="G25" s="565"/>
      <c r="H25" s="566">
        <v>11652.56</v>
      </c>
      <c r="I25" s="567">
        <v>7482.32</v>
      </c>
      <c r="J25" s="531">
        <f t="shared" si="15"/>
        <v>0.6421181268322154</v>
      </c>
      <c r="K25" s="568">
        <v>2080.3</v>
      </c>
      <c r="L25" s="567">
        <v>1427.3</v>
      </c>
      <c r="M25" s="562">
        <f t="shared" si="16"/>
        <v>17.852729357325774</v>
      </c>
      <c r="N25" s="569">
        <v>1958</v>
      </c>
      <c r="O25" s="570">
        <v>1383.2</v>
      </c>
      <c r="P25" s="571">
        <f t="shared" si="0"/>
        <v>0.706435137895812</v>
      </c>
      <c r="Q25" s="572">
        <v>1212.83</v>
      </c>
      <c r="R25" s="572">
        <v>498.61</v>
      </c>
      <c r="S25" s="571">
        <f t="shared" si="1"/>
        <v>0.4111128517599334</v>
      </c>
      <c r="T25" s="600">
        <v>354.65</v>
      </c>
      <c r="U25" s="570">
        <v>254.74</v>
      </c>
      <c r="V25" s="573">
        <f t="shared" si="20"/>
        <v>0.7182856337233894</v>
      </c>
      <c r="W25" s="570">
        <v>0</v>
      </c>
      <c r="X25" s="570">
        <v>0</v>
      </c>
      <c r="Y25" s="573" t="e">
        <f t="shared" si="21"/>
        <v>#DIV/0!</v>
      </c>
      <c r="Z25" s="570">
        <v>254.53</v>
      </c>
      <c r="AA25" s="570">
        <v>235.53</v>
      </c>
      <c r="AB25" s="573">
        <f t="shared" si="22"/>
        <v>0.9253526106942207</v>
      </c>
      <c r="AC25" s="574" t="e">
        <f>#REF!-H25</f>
        <v>#REF!</v>
      </c>
      <c r="AD25" s="575" t="e">
        <f>#REF!-I25</f>
        <v>#REF!</v>
      </c>
      <c r="AE25" s="576">
        <f t="shared" si="17"/>
        <v>3453.97</v>
      </c>
      <c r="AF25" s="576">
        <v>3453.97</v>
      </c>
      <c r="AG25" s="577">
        <f t="shared" si="9"/>
        <v>1003.6472092032382</v>
      </c>
      <c r="AH25" s="578" t="e">
        <f t="shared" si="18"/>
        <v>#DIV/0!</v>
      </c>
      <c r="AI25" s="579">
        <f t="shared" si="10"/>
        <v>2355.56</v>
      </c>
      <c r="AJ25" s="599">
        <f>13850/1000</f>
        <v>13.85</v>
      </c>
      <c r="AK25" s="566">
        <v>2168.78</v>
      </c>
      <c r="AL25" s="566">
        <v>172.93</v>
      </c>
      <c r="AM25" s="544">
        <f t="shared" si="11"/>
        <v>18.612047481411814</v>
      </c>
      <c r="AN25" s="545">
        <f t="shared" si="12"/>
        <v>1.4840515732165294</v>
      </c>
      <c r="AO25" s="580">
        <v>1196.82</v>
      </c>
      <c r="AP25" s="580">
        <v>880.59</v>
      </c>
      <c r="AQ25" s="580">
        <f>1548699.18/1000</f>
        <v>1548.6991799999998</v>
      </c>
      <c r="AR25" s="580">
        <v>829.13</v>
      </c>
      <c r="AS25" s="581">
        <f t="shared" si="19"/>
        <v>2745.51918</v>
      </c>
      <c r="AT25" s="581">
        <f t="shared" si="19"/>
        <v>1709.72</v>
      </c>
      <c r="AU25" s="582">
        <f t="shared" si="13"/>
        <v>23.56151077531461</v>
      </c>
      <c r="AV25" s="583"/>
      <c r="AW25" s="596"/>
      <c r="AX25" s="585"/>
      <c r="AY25" s="586">
        <f t="shared" si="14"/>
        <v>0</v>
      </c>
      <c r="AZ25" s="587"/>
      <c r="BA25" s="588"/>
      <c r="BB25" s="589"/>
      <c r="BC25" s="590"/>
      <c r="BD25" s="591"/>
      <c r="BE25" s="591"/>
      <c r="BF25" s="591"/>
      <c r="BG25" s="591"/>
      <c r="BH25" s="559"/>
      <c r="BI25" s="592"/>
      <c r="BJ25" s="592"/>
      <c r="BK25" s="592"/>
      <c r="BL25" s="592"/>
      <c r="BM25" s="592"/>
      <c r="BN25" s="592"/>
      <c r="BO25" s="593" t="e">
        <f>#REF!/#REF!</f>
        <v>#REF!</v>
      </c>
    </row>
    <row r="26" spans="1:67" ht="15.75">
      <c r="A26" s="561" t="s">
        <v>265</v>
      </c>
      <c r="B26" s="562">
        <f t="shared" si="5"/>
        <v>0</v>
      </c>
      <c r="C26" s="562">
        <f t="shared" si="6"/>
        <v>0</v>
      </c>
      <c r="D26" s="563">
        <f t="shared" si="7"/>
        <v>4360.113714679531</v>
      </c>
      <c r="E26" s="563">
        <f t="shared" si="8"/>
        <v>175.01008347600825</v>
      </c>
      <c r="F26" s="564">
        <v>2902</v>
      </c>
      <c r="G26" s="565"/>
      <c r="H26" s="566">
        <v>12653.05</v>
      </c>
      <c r="I26" s="567">
        <v>6070.78</v>
      </c>
      <c r="J26" s="531">
        <f t="shared" si="15"/>
        <v>0.47978787723118144</v>
      </c>
      <c r="K26" s="568">
        <v>3005.2</v>
      </c>
      <c r="L26" s="567">
        <v>2306.9</v>
      </c>
      <c r="M26" s="562">
        <f t="shared" si="16"/>
        <v>23.75079526280225</v>
      </c>
      <c r="N26" s="569">
        <v>2810.3</v>
      </c>
      <c r="O26" s="570">
        <v>2188</v>
      </c>
      <c r="P26" s="571">
        <f t="shared" si="0"/>
        <v>0.7785645660605629</v>
      </c>
      <c r="Q26" s="572">
        <v>2105.71</v>
      </c>
      <c r="R26" s="572">
        <v>1101.82</v>
      </c>
      <c r="S26" s="571">
        <f t="shared" si="1"/>
        <v>0.5232534394574752</v>
      </c>
      <c r="T26" s="600">
        <v>146.2</v>
      </c>
      <c r="U26" s="570">
        <f>36200/1000</f>
        <v>36.2</v>
      </c>
      <c r="V26" s="573">
        <f t="shared" si="20"/>
        <v>0.24760601915184682</v>
      </c>
      <c r="W26" s="570">
        <v>0</v>
      </c>
      <c r="X26" s="570">
        <v>0</v>
      </c>
      <c r="Y26" s="573" t="e">
        <f t="shared" si="21"/>
        <v>#DIV/0!</v>
      </c>
      <c r="Z26" s="570">
        <v>0</v>
      </c>
      <c r="AA26" s="570">
        <v>0</v>
      </c>
      <c r="AB26" s="573" t="e">
        <f t="shared" si="22"/>
        <v>#DIV/0!</v>
      </c>
      <c r="AC26" s="574" t="e">
        <f>#REF!-H26</f>
        <v>#REF!</v>
      </c>
      <c r="AD26" s="575" t="e">
        <f>#REF!-I26</f>
        <v>#REF!</v>
      </c>
      <c r="AE26" s="576">
        <f t="shared" si="17"/>
        <v>4675.83</v>
      </c>
      <c r="AF26" s="576">
        <v>4675.83</v>
      </c>
      <c r="AG26" s="577">
        <f t="shared" si="9"/>
        <v>0</v>
      </c>
      <c r="AH26" s="578" t="e">
        <f t="shared" si="18"/>
        <v>#DIV/0!</v>
      </c>
      <c r="AI26" s="579">
        <f t="shared" si="10"/>
        <v>0</v>
      </c>
      <c r="AJ26" s="599">
        <v>0</v>
      </c>
      <c r="AK26" s="566">
        <v>0</v>
      </c>
      <c r="AL26" s="566">
        <v>0</v>
      </c>
      <c r="AM26" s="544">
        <f t="shared" si="11"/>
        <v>0</v>
      </c>
      <c r="AN26" s="545">
        <f t="shared" si="12"/>
        <v>0</v>
      </c>
      <c r="AO26" s="580">
        <f>175000/1000</f>
        <v>175</v>
      </c>
      <c r="AP26" s="580">
        <v>167</v>
      </c>
      <c r="AQ26" s="580">
        <v>3765.1</v>
      </c>
      <c r="AR26" s="580">
        <v>760.57</v>
      </c>
      <c r="AS26" s="581">
        <f t="shared" si="19"/>
        <v>3940.1</v>
      </c>
      <c r="AT26" s="581">
        <f t="shared" si="19"/>
        <v>927.57</v>
      </c>
      <c r="AU26" s="582">
        <f t="shared" si="13"/>
        <v>31.139527623774505</v>
      </c>
      <c r="AV26" s="583"/>
      <c r="AW26" s="596"/>
      <c r="AX26" s="585"/>
      <c r="AY26" s="586">
        <f t="shared" si="14"/>
        <v>0</v>
      </c>
      <c r="AZ26" s="601"/>
      <c r="BA26" s="588"/>
      <c r="BB26" s="589"/>
      <c r="BC26" s="590"/>
      <c r="BD26" s="602"/>
      <c r="BE26" s="602"/>
      <c r="BF26" s="602"/>
      <c r="BG26" s="602"/>
      <c r="BH26" s="603"/>
      <c r="BI26" s="604"/>
      <c r="BJ26" s="604"/>
      <c r="BK26" s="604"/>
      <c r="BL26" s="604"/>
      <c r="BM26" s="604"/>
      <c r="BN26" s="604"/>
      <c r="BO26" s="593" t="e">
        <f>#REF!/#REF!</f>
        <v>#REF!</v>
      </c>
    </row>
    <row r="27" spans="1:67" ht="15.75">
      <c r="A27" s="561" t="s">
        <v>266</v>
      </c>
      <c r="B27" s="562">
        <f t="shared" si="5"/>
        <v>0</v>
      </c>
      <c r="C27" s="562">
        <f t="shared" si="6"/>
        <v>0</v>
      </c>
      <c r="D27" s="563">
        <f t="shared" si="7"/>
        <v>3523.3135775862074</v>
      </c>
      <c r="E27" s="563">
        <f t="shared" si="8"/>
        <v>141.4218627485583</v>
      </c>
      <c r="F27" s="564">
        <v>1856</v>
      </c>
      <c r="G27" s="565"/>
      <c r="H27" s="566">
        <v>6539.27</v>
      </c>
      <c r="I27" s="567">
        <v>3943.18</v>
      </c>
      <c r="J27" s="531">
        <f t="shared" si="15"/>
        <v>0.6030000290552309</v>
      </c>
      <c r="K27" s="568">
        <v>2157.6</v>
      </c>
      <c r="L27" s="567">
        <v>1299.8</v>
      </c>
      <c r="M27" s="562">
        <f t="shared" si="16"/>
        <v>32.99450856135318</v>
      </c>
      <c r="N27" s="569">
        <v>2005</v>
      </c>
      <c r="O27" s="570">
        <v>1258.5</v>
      </c>
      <c r="P27" s="571">
        <f t="shared" si="0"/>
        <v>0.6276807980049876</v>
      </c>
      <c r="Q27" s="572">
        <v>970.93</v>
      </c>
      <c r="R27" s="572">
        <v>570.21</v>
      </c>
      <c r="S27" s="571">
        <f t="shared" si="1"/>
        <v>0.5872822963550411</v>
      </c>
      <c r="T27" s="600">
        <v>18</v>
      </c>
      <c r="U27" s="570">
        <f>18000/1000</f>
        <v>18</v>
      </c>
      <c r="V27" s="573">
        <f t="shared" si="20"/>
        <v>1</v>
      </c>
      <c r="W27" s="570">
        <v>0</v>
      </c>
      <c r="X27" s="570">
        <v>0</v>
      </c>
      <c r="Y27" s="573" t="e">
        <f t="shared" si="21"/>
        <v>#DIV/0!</v>
      </c>
      <c r="Z27" s="570">
        <v>118.33</v>
      </c>
      <c r="AA27" s="570">
        <v>0</v>
      </c>
      <c r="AB27" s="573">
        <f t="shared" si="22"/>
        <v>0</v>
      </c>
      <c r="AC27" s="574" t="e">
        <f>#REF!-H27</f>
        <v>#REF!</v>
      </c>
      <c r="AD27" s="575" t="e">
        <f>#REF!-I27</f>
        <v>#REF!</v>
      </c>
      <c r="AE27" s="576">
        <f t="shared" si="17"/>
        <v>3575.6341899999998</v>
      </c>
      <c r="AF27" s="576">
        <f>3575634.19/1000</f>
        <v>3575.6341899999998</v>
      </c>
      <c r="AG27" s="577">
        <f t="shared" si="9"/>
        <v>68.66918103448276</v>
      </c>
      <c r="AH27" s="578" t="e">
        <f t="shared" si="18"/>
        <v>#DIV/0!</v>
      </c>
      <c r="AI27" s="579">
        <f t="shared" si="10"/>
        <v>127.45</v>
      </c>
      <c r="AJ27" s="566">
        <v>0</v>
      </c>
      <c r="AK27" s="566">
        <v>97.45</v>
      </c>
      <c r="AL27" s="566">
        <f>30000/1000</f>
        <v>30</v>
      </c>
      <c r="AM27" s="544">
        <f t="shared" si="11"/>
        <v>1.4902275024582254</v>
      </c>
      <c r="AN27" s="545">
        <f t="shared" si="12"/>
        <v>0.4587668042457338</v>
      </c>
      <c r="AO27" s="580">
        <f>100000/1000</f>
        <v>100</v>
      </c>
      <c r="AP27" s="580">
        <v>0</v>
      </c>
      <c r="AQ27" s="580">
        <f>290000/1000</f>
        <v>290</v>
      </c>
      <c r="AR27" s="580">
        <v>0</v>
      </c>
      <c r="AS27" s="581">
        <f t="shared" si="19"/>
        <v>390</v>
      </c>
      <c r="AT27" s="581">
        <f t="shared" si="19"/>
        <v>0</v>
      </c>
      <c r="AU27" s="582">
        <f t="shared" si="13"/>
        <v>5.963968455194539</v>
      </c>
      <c r="AV27" s="583"/>
      <c r="AW27" s="596"/>
      <c r="AX27" s="585"/>
      <c r="AY27" s="586">
        <f t="shared" si="14"/>
        <v>0</v>
      </c>
      <c r="AZ27" s="601"/>
      <c r="BA27" s="588"/>
      <c r="BB27" s="589"/>
      <c r="BC27" s="590"/>
      <c r="BD27" s="602"/>
      <c r="BE27" s="602"/>
      <c r="BF27" s="602"/>
      <c r="BG27" s="602"/>
      <c r="BH27" s="603"/>
      <c r="BI27" s="606"/>
      <c r="BJ27" s="604"/>
      <c r="BK27" s="604"/>
      <c r="BL27" s="604"/>
      <c r="BM27" s="606"/>
      <c r="BN27" s="604"/>
      <c r="BO27" s="593" t="e">
        <f>#REF!/#REF!</f>
        <v>#REF!</v>
      </c>
    </row>
    <row r="28" spans="1:67" ht="15.75">
      <c r="A28" s="561" t="s">
        <v>267</v>
      </c>
      <c r="B28" s="562">
        <f t="shared" si="5"/>
        <v>0</v>
      </c>
      <c r="C28" s="562">
        <f t="shared" si="6"/>
        <v>0</v>
      </c>
      <c r="D28" s="563">
        <f t="shared" si="7"/>
        <v>7009.8886474741985</v>
      </c>
      <c r="E28" s="563">
        <f t="shared" si="8"/>
        <v>281.3690829258916</v>
      </c>
      <c r="F28" s="564">
        <v>3682</v>
      </c>
      <c r="G28" s="565"/>
      <c r="H28" s="566">
        <v>25810.41</v>
      </c>
      <c r="I28" s="567">
        <v>17524.92</v>
      </c>
      <c r="J28" s="531">
        <f t="shared" si="15"/>
        <v>0.6789865019579309</v>
      </c>
      <c r="K28" s="568">
        <v>2778.3</v>
      </c>
      <c r="L28" s="567">
        <v>1950.5</v>
      </c>
      <c r="M28" s="562">
        <f t="shared" si="16"/>
        <v>10.76426139685499</v>
      </c>
      <c r="N28" s="569">
        <v>2720.8</v>
      </c>
      <c r="O28" s="570">
        <v>1898.6</v>
      </c>
      <c r="P28" s="571">
        <f t="shared" si="0"/>
        <v>0.6978094678035871</v>
      </c>
      <c r="Q28" s="572">
        <v>1838.44</v>
      </c>
      <c r="R28" s="572">
        <v>1131.62</v>
      </c>
      <c r="S28" s="571">
        <f t="shared" si="1"/>
        <v>0.6155327342747111</v>
      </c>
      <c r="T28" s="600">
        <v>2390.56</v>
      </c>
      <c r="U28" s="570">
        <v>2206.78</v>
      </c>
      <c r="V28" s="573">
        <f t="shared" si="20"/>
        <v>0.9231226156214445</v>
      </c>
      <c r="W28" s="570">
        <v>2022</v>
      </c>
      <c r="X28" s="570">
        <v>1918</v>
      </c>
      <c r="Y28" s="573">
        <f t="shared" si="21"/>
        <v>0.9485657764589516</v>
      </c>
      <c r="Z28" s="570">
        <v>4005</v>
      </c>
      <c r="AA28" s="570">
        <v>2005</v>
      </c>
      <c r="AB28" s="573">
        <f t="shared" si="22"/>
        <v>0.5006242197253433</v>
      </c>
      <c r="AC28" s="574" t="e">
        <f>#REF!-H28</f>
        <v>#REF!</v>
      </c>
      <c r="AD28" s="575" t="e">
        <f>#REF!-I28</f>
        <v>#REF!</v>
      </c>
      <c r="AE28" s="576">
        <f t="shared" si="17"/>
        <v>5441.23</v>
      </c>
      <c r="AF28" s="576">
        <v>5441.23</v>
      </c>
      <c r="AG28" s="577">
        <f t="shared" si="9"/>
        <v>158.60673546985333</v>
      </c>
      <c r="AH28" s="578" t="e">
        <f t="shared" si="18"/>
        <v>#DIV/0!</v>
      </c>
      <c r="AI28" s="579">
        <f t="shared" si="10"/>
        <v>583.99</v>
      </c>
      <c r="AJ28" s="599">
        <v>0</v>
      </c>
      <c r="AK28" s="566">
        <v>452.99</v>
      </c>
      <c r="AL28" s="566">
        <v>131</v>
      </c>
      <c r="AM28" s="544">
        <f t="shared" si="11"/>
        <v>1.7550670446536882</v>
      </c>
      <c r="AN28" s="545">
        <f t="shared" si="12"/>
        <v>0.5075471486117423</v>
      </c>
      <c r="AO28" s="580">
        <v>1204.02</v>
      </c>
      <c r="AP28" s="580">
        <v>1105.59</v>
      </c>
      <c r="AQ28" s="580">
        <v>9244.42</v>
      </c>
      <c r="AR28" s="580">
        <v>5767.06</v>
      </c>
      <c r="AS28" s="581">
        <f t="shared" si="19"/>
        <v>10448.44</v>
      </c>
      <c r="AT28" s="581">
        <f t="shared" si="19"/>
        <v>6872.650000000001</v>
      </c>
      <c r="AU28" s="582">
        <f t="shared" si="13"/>
        <v>40.481495644586815</v>
      </c>
      <c r="AV28" s="583"/>
      <c r="AW28" s="596"/>
      <c r="AX28" s="585"/>
      <c r="AY28" s="586">
        <f t="shared" si="14"/>
        <v>0</v>
      </c>
      <c r="AZ28" s="601"/>
      <c r="BA28" s="588"/>
      <c r="BB28" s="589"/>
      <c r="BC28" s="590"/>
      <c r="BD28" s="602"/>
      <c r="BE28" s="602"/>
      <c r="BF28" s="602"/>
      <c r="BG28" s="602"/>
      <c r="BH28" s="603"/>
      <c r="BI28" s="604"/>
      <c r="BJ28" s="606"/>
      <c r="BK28" s="604"/>
      <c r="BL28" s="604"/>
      <c r="BM28" s="604"/>
      <c r="BN28" s="604"/>
      <c r="BO28" s="593" t="e">
        <f>#REF!/#REF!</f>
        <v>#REF!</v>
      </c>
    </row>
    <row r="29" spans="1:67" ht="15.75">
      <c r="A29" s="561" t="s">
        <v>268</v>
      </c>
      <c r="B29" s="562">
        <f t="shared" si="5"/>
        <v>0</v>
      </c>
      <c r="C29" s="562">
        <f t="shared" si="6"/>
        <v>0</v>
      </c>
      <c r="D29" s="563">
        <f t="shared" si="7"/>
        <v>3644.6224607129166</v>
      </c>
      <c r="E29" s="563">
        <f t="shared" si="8"/>
        <v>146.29106551519925</v>
      </c>
      <c r="F29" s="564">
        <v>2609</v>
      </c>
      <c r="G29" s="565"/>
      <c r="H29" s="566">
        <v>9508.82</v>
      </c>
      <c r="I29" s="567">
        <v>5071.05</v>
      </c>
      <c r="J29" s="531">
        <f t="shared" si="15"/>
        <v>0.5332996102565829</v>
      </c>
      <c r="K29" s="568">
        <v>2324.5</v>
      </c>
      <c r="L29" s="567">
        <v>1656</v>
      </c>
      <c r="M29" s="562">
        <f t="shared" si="16"/>
        <v>24.445725126777035</v>
      </c>
      <c r="N29" s="569">
        <v>2185.9</v>
      </c>
      <c r="O29" s="570">
        <v>1584.4</v>
      </c>
      <c r="P29" s="571">
        <f t="shared" si="0"/>
        <v>0.724827302255364</v>
      </c>
      <c r="Q29" s="572">
        <v>1590.6</v>
      </c>
      <c r="R29" s="572">
        <v>678.76</v>
      </c>
      <c r="S29" s="571">
        <f t="shared" si="1"/>
        <v>0.42673205079844084</v>
      </c>
      <c r="T29" s="600">
        <v>1299.62</v>
      </c>
      <c r="U29" s="570">
        <v>165.71</v>
      </c>
      <c r="V29" s="573">
        <f t="shared" si="20"/>
        <v>0.12750650190055557</v>
      </c>
      <c r="W29" s="570">
        <v>664.29</v>
      </c>
      <c r="X29" s="570">
        <v>0</v>
      </c>
      <c r="Y29" s="573">
        <f t="shared" si="21"/>
        <v>0</v>
      </c>
      <c r="Z29" s="570">
        <f>22408.13/1000</f>
        <v>22.40813</v>
      </c>
      <c r="AA29" s="570">
        <v>22.41</v>
      </c>
      <c r="AB29" s="573">
        <f t="shared" si="22"/>
        <v>1.0000834518543047</v>
      </c>
      <c r="AC29" s="574" t="e">
        <f>#REF!-H29</f>
        <v>#REF!</v>
      </c>
      <c r="AD29" s="575" t="e">
        <f>#REF!-I29</f>
        <v>#REF!</v>
      </c>
      <c r="AE29" s="576">
        <f t="shared" si="17"/>
        <v>4144.02181</v>
      </c>
      <c r="AF29" s="607">
        <f>4144021.81/1000</f>
        <v>4144.02181</v>
      </c>
      <c r="AG29" s="577">
        <f t="shared" si="9"/>
        <v>712.5258719816021</v>
      </c>
      <c r="AH29" s="578" t="e">
        <f t="shared" si="18"/>
        <v>#DIV/0!</v>
      </c>
      <c r="AI29" s="579">
        <f t="shared" si="10"/>
        <v>1858.98</v>
      </c>
      <c r="AJ29" s="566">
        <v>243.65</v>
      </c>
      <c r="AK29" s="566">
        <v>1456.36</v>
      </c>
      <c r="AL29" s="566">
        <v>158.97</v>
      </c>
      <c r="AM29" s="544">
        <f t="shared" si="11"/>
        <v>15.315885672459885</v>
      </c>
      <c r="AN29" s="545">
        <f t="shared" si="12"/>
        <v>1.6718162716299183</v>
      </c>
      <c r="AO29" s="580">
        <v>216.13</v>
      </c>
      <c r="AP29" s="580">
        <v>152.81</v>
      </c>
      <c r="AQ29" s="580">
        <f>352000/1000</f>
        <v>352</v>
      </c>
      <c r="AR29" s="580">
        <f>40476.34/1000</f>
        <v>40.47633999999999</v>
      </c>
      <c r="AS29" s="581">
        <f t="shared" si="19"/>
        <v>568.13</v>
      </c>
      <c r="AT29" s="581">
        <f t="shared" si="19"/>
        <v>193.28634</v>
      </c>
      <c r="AU29" s="582">
        <f t="shared" si="13"/>
        <v>5.974768688438734</v>
      </c>
      <c r="AV29" s="583"/>
      <c r="AW29" s="596"/>
      <c r="AX29" s="585"/>
      <c r="AY29" s="586">
        <f t="shared" si="14"/>
        <v>0</v>
      </c>
      <c r="AZ29" s="601"/>
      <c r="BA29" s="588"/>
      <c r="BB29" s="589"/>
      <c r="BC29" s="590"/>
      <c r="BD29" s="602"/>
      <c r="BE29" s="602"/>
      <c r="BF29" s="602"/>
      <c r="BG29" s="602"/>
      <c r="BH29" s="603"/>
      <c r="BI29" s="604"/>
      <c r="BJ29" s="604"/>
      <c r="BK29" s="604"/>
      <c r="BL29" s="604"/>
      <c r="BM29" s="604"/>
      <c r="BN29" s="604"/>
      <c r="BO29" s="593" t="e">
        <f>#REF!/#REF!</f>
        <v>#REF!</v>
      </c>
    </row>
    <row r="30" spans="1:67" ht="16.5" customHeight="1">
      <c r="A30" s="561" t="s">
        <v>269</v>
      </c>
      <c r="B30" s="562">
        <f t="shared" si="5"/>
        <v>0</v>
      </c>
      <c r="C30" s="562">
        <f t="shared" si="6"/>
        <v>0</v>
      </c>
      <c r="D30" s="563">
        <f t="shared" si="7"/>
        <v>4496.740833036668</v>
      </c>
      <c r="E30" s="563">
        <f t="shared" si="8"/>
        <v>180.494143056442</v>
      </c>
      <c r="F30" s="564">
        <v>5618</v>
      </c>
      <c r="G30" s="565"/>
      <c r="H30" s="566">
        <v>25262.69</v>
      </c>
      <c r="I30" s="567">
        <v>16341.23</v>
      </c>
      <c r="J30" s="531">
        <f t="shared" si="15"/>
        <v>0.6468523344109436</v>
      </c>
      <c r="K30" s="568">
        <v>3613</v>
      </c>
      <c r="L30" s="567">
        <v>2825.4</v>
      </c>
      <c r="M30" s="562">
        <f t="shared" si="16"/>
        <v>14.301723213165344</v>
      </c>
      <c r="N30" s="569">
        <v>3592.7</v>
      </c>
      <c r="O30" s="570">
        <v>2808.2</v>
      </c>
      <c r="P30" s="571">
        <f t="shared" si="0"/>
        <v>0.7816405488908064</v>
      </c>
      <c r="Q30" s="572">
        <v>2110.35</v>
      </c>
      <c r="R30" s="572">
        <v>283.34</v>
      </c>
      <c r="S30" s="571">
        <f t="shared" si="1"/>
        <v>0.1342620892269055</v>
      </c>
      <c r="T30" s="600">
        <v>2203.62</v>
      </c>
      <c r="U30" s="570">
        <v>1270.39</v>
      </c>
      <c r="V30" s="573">
        <f t="shared" si="20"/>
        <v>0.5765013931621605</v>
      </c>
      <c r="W30" s="570">
        <v>1519.5</v>
      </c>
      <c r="X30" s="570">
        <v>957.41</v>
      </c>
      <c r="Y30" s="573">
        <f t="shared" si="21"/>
        <v>0.6300822639025995</v>
      </c>
      <c r="Z30" s="570">
        <f>0</f>
        <v>0</v>
      </c>
      <c r="AA30" s="570">
        <v>0</v>
      </c>
      <c r="AB30" s="573" t="e">
        <f t="shared" si="22"/>
        <v>#DIV/0!</v>
      </c>
      <c r="AC30" s="574" t="e">
        <f>#REF!-H30</f>
        <v>#REF!</v>
      </c>
      <c r="AD30" s="575" t="e">
        <f>#REF!-I30</f>
        <v>#REF!</v>
      </c>
      <c r="AE30" s="576">
        <f t="shared" si="17"/>
        <v>7936.343</v>
      </c>
      <c r="AF30" s="607">
        <f>7936343/1000</f>
        <v>7936.343</v>
      </c>
      <c r="AG30" s="577">
        <f t="shared" si="9"/>
        <v>866.6002135991456</v>
      </c>
      <c r="AH30" s="578" t="e">
        <f t="shared" si="18"/>
        <v>#DIV/0!</v>
      </c>
      <c r="AI30" s="579">
        <f t="shared" si="10"/>
        <v>4868.56</v>
      </c>
      <c r="AJ30" s="566">
        <f>50000/1000</f>
        <v>50</v>
      </c>
      <c r="AK30" s="566">
        <v>951.49</v>
      </c>
      <c r="AL30" s="566">
        <v>3867.07</v>
      </c>
      <c r="AM30" s="544">
        <f t="shared" si="11"/>
        <v>3.7663843399099624</v>
      </c>
      <c r="AN30" s="545">
        <f t="shared" si="12"/>
        <v>15.307435589796654</v>
      </c>
      <c r="AO30" s="580">
        <v>2471.92</v>
      </c>
      <c r="AP30" s="580">
        <v>1352.97</v>
      </c>
      <c r="AQ30" s="580">
        <v>992.85</v>
      </c>
      <c r="AR30" s="580">
        <v>880.37</v>
      </c>
      <c r="AS30" s="581">
        <f t="shared" si="19"/>
        <v>3464.77</v>
      </c>
      <c r="AT30" s="581">
        <f t="shared" si="19"/>
        <v>2233.34</v>
      </c>
      <c r="AU30" s="582">
        <f t="shared" si="13"/>
        <v>13.714968595980872</v>
      </c>
      <c r="AV30" s="583"/>
      <c r="AW30" s="596"/>
      <c r="AX30" s="585"/>
      <c r="AY30" s="586">
        <f t="shared" si="14"/>
        <v>0</v>
      </c>
      <c r="AZ30" s="601"/>
      <c r="BA30" s="588"/>
      <c r="BB30" s="589"/>
      <c r="BC30" s="590"/>
      <c r="BD30" s="602"/>
      <c r="BE30" s="602"/>
      <c r="BF30" s="602"/>
      <c r="BG30" s="602"/>
      <c r="BH30" s="603"/>
      <c r="BI30" s="604"/>
      <c r="BJ30" s="604"/>
      <c r="BK30" s="604"/>
      <c r="BL30" s="604"/>
      <c r="BM30" s="604"/>
      <c r="BN30" s="604"/>
      <c r="BO30" s="593" t="e">
        <f>#REF!/#REF!</f>
        <v>#REF!</v>
      </c>
    </row>
    <row r="31" spans="1:67" ht="15.75">
      <c r="A31" s="561" t="s">
        <v>270</v>
      </c>
      <c r="B31" s="562">
        <f t="shared" si="5"/>
        <v>0</v>
      </c>
      <c r="C31" s="562">
        <f t="shared" si="6"/>
        <v>0</v>
      </c>
      <c r="D31" s="563">
        <f t="shared" si="7"/>
        <v>2519.94042827242</v>
      </c>
      <c r="E31" s="563">
        <f t="shared" si="8"/>
        <v>101.14758778463163</v>
      </c>
      <c r="F31" s="564">
        <v>6211</v>
      </c>
      <c r="G31" s="565"/>
      <c r="H31" s="566">
        <v>15651.35</v>
      </c>
      <c r="I31" s="567">
        <v>8484.18</v>
      </c>
      <c r="J31" s="531">
        <f>I31/H31*100%</f>
        <v>0.5420733674730934</v>
      </c>
      <c r="K31" s="568">
        <v>2697.4</v>
      </c>
      <c r="L31" s="567">
        <v>1798.4</v>
      </c>
      <c r="M31" s="562">
        <f t="shared" si="16"/>
        <v>17.234296083085486</v>
      </c>
      <c r="N31" s="569">
        <v>2583.5</v>
      </c>
      <c r="O31" s="570">
        <v>1722.8</v>
      </c>
      <c r="P31" s="571">
        <f t="shared" si="0"/>
        <v>0.6668473001741823</v>
      </c>
      <c r="Q31" s="572">
        <v>1069.71</v>
      </c>
      <c r="R31" s="572">
        <v>509.97</v>
      </c>
      <c r="S31" s="571">
        <f t="shared" si="1"/>
        <v>0.47673668564377264</v>
      </c>
      <c r="T31" s="600">
        <v>2811.36</v>
      </c>
      <c r="U31" s="570">
        <v>501.02</v>
      </c>
      <c r="V31" s="573">
        <f t="shared" si="20"/>
        <v>0.17821267998406465</v>
      </c>
      <c r="W31" s="570">
        <v>2299.52</v>
      </c>
      <c r="X31" s="570">
        <v>0</v>
      </c>
      <c r="Y31" s="573">
        <f t="shared" si="21"/>
        <v>0</v>
      </c>
      <c r="Z31" s="570">
        <f>2363486/1000</f>
        <v>2363.486</v>
      </c>
      <c r="AA31" s="570">
        <v>1873.24</v>
      </c>
      <c r="AB31" s="573">
        <f t="shared" si="22"/>
        <v>0.7925750353503258</v>
      </c>
      <c r="AC31" s="574" t="e">
        <f>#REF!-H31</f>
        <v>#REF!</v>
      </c>
      <c r="AD31" s="575" t="e">
        <f>#REF!-I31</f>
        <v>#REF!</v>
      </c>
      <c r="AE31" s="576">
        <f t="shared" si="17"/>
        <v>5478.86</v>
      </c>
      <c r="AF31" s="608">
        <v>5478.86</v>
      </c>
      <c r="AG31" s="577">
        <f t="shared" si="9"/>
        <v>287.7572049589439</v>
      </c>
      <c r="AH31" s="578" t="e">
        <f t="shared" si="18"/>
        <v>#DIV/0!</v>
      </c>
      <c r="AI31" s="579">
        <f t="shared" si="10"/>
        <v>1787.2600000000002</v>
      </c>
      <c r="AJ31" s="566">
        <f>17000/1000</f>
        <v>17</v>
      </c>
      <c r="AK31" s="566">
        <v>684.88</v>
      </c>
      <c r="AL31" s="566">
        <v>1085.38</v>
      </c>
      <c r="AM31" s="544">
        <f t="shared" si="11"/>
        <v>4.37585256223904</v>
      </c>
      <c r="AN31" s="545">
        <f t="shared" si="12"/>
        <v>6.934737259086278</v>
      </c>
      <c r="AO31" s="580">
        <f>499600/1000</f>
        <v>499.6</v>
      </c>
      <c r="AP31" s="580">
        <v>213.77</v>
      </c>
      <c r="AQ31" s="580">
        <v>1174.18</v>
      </c>
      <c r="AR31" s="580">
        <v>552.38</v>
      </c>
      <c r="AS31" s="581">
        <f t="shared" si="19"/>
        <v>1673.7800000000002</v>
      </c>
      <c r="AT31" s="581">
        <f t="shared" si="19"/>
        <v>766.15</v>
      </c>
      <c r="AU31" s="582">
        <f t="shared" si="13"/>
        <v>10.694157373006163</v>
      </c>
      <c r="AV31" s="583"/>
      <c r="AW31" s="596"/>
      <c r="AX31" s="585"/>
      <c r="AY31" s="586">
        <f t="shared" si="14"/>
        <v>0</v>
      </c>
      <c r="AZ31" s="601"/>
      <c r="BA31" s="588"/>
      <c r="BB31" s="589"/>
      <c r="BC31" s="590"/>
      <c r="BD31" s="602"/>
      <c r="BE31" s="602"/>
      <c r="BF31" s="602"/>
      <c r="BG31" s="602"/>
      <c r="BH31" s="603"/>
      <c r="BI31" s="606"/>
      <c r="BJ31" s="606"/>
      <c r="BK31" s="604"/>
      <c r="BL31" s="604"/>
      <c r="BM31" s="604"/>
      <c r="BN31" s="604"/>
      <c r="BO31" s="593" t="e">
        <f>#REF!/#REF!</f>
        <v>#REF!</v>
      </c>
    </row>
    <row r="32" spans="1:67" ht="15.75">
      <c r="A32" s="561" t="s">
        <v>271</v>
      </c>
      <c r="B32" s="562">
        <f t="shared" si="5"/>
        <v>0</v>
      </c>
      <c r="C32" s="562">
        <f t="shared" si="6"/>
        <v>0</v>
      </c>
      <c r="D32" s="563">
        <f t="shared" si="7"/>
        <v>5921.212814645309</v>
      </c>
      <c r="E32" s="563">
        <f t="shared" si="8"/>
        <v>237.67085373975192</v>
      </c>
      <c r="F32" s="564">
        <v>2185</v>
      </c>
      <c r="G32" s="565"/>
      <c r="H32" s="566">
        <v>12937.85</v>
      </c>
      <c r="I32" s="567">
        <v>6727.09</v>
      </c>
      <c r="J32" s="531">
        <f t="shared" si="15"/>
        <v>0.5199542427837701</v>
      </c>
      <c r="K32" s="568">
        <v>2631.5</v>
      </c>
      <c r="L32" s="567">
        <v>1774.1</v>
      </c>
      <c r="M32" s="562">
        <f t="shared" si="16"/>
        <v>20.339546369760043</v>
      </c>
      <c r="N32" s="569">
        <v>2555.1</v>
      </c>
      <c r="O32" s="570">
        <v>1738.2</v>
      </c>
      <c r="P32" s="571">
        <f t="shared" si="0"/>
        <v>0.6802864858518258</v>
      </c>
      <c r="Q32" s="572">
        <v>939.3</v>
      </c>
      <c r="R32" s="572">
        <v>526.15</v>
      </c>
      <c r="S32" s="571">
        <f t="shared" si="1"/>
        <v>0.5601511764079634</v>
      </c>
      <c r="T32" s="600">
        <v>660.89</v>
      </c>
      <c r="U32" s="570">
        <v>238.8</v>
      </c>
      <c r="V32" s="573">
        <f t="shared" si="20"/>
        <v>0.36133093253037574</v>
      </c>
      <c r="W32" s="570">
        <v>0</v>
      </c>
      <c r="X32" s="570">
        <v>0</v>
      </c>
      <c r="Y32" s="573" t="e">
        <f t="shared" si="21"/>
        <v>#DIV/0!</v>
      </c>
      <c r="Z32" s="570">
        <v>1800</v>
      </c>
      <c r="AA32" s="570">
        <v>802.52</v>
      </c>
      <c r="AB32" s="573">
        <f t="shared" si="22"/>
        <v>0.44584444444444443</v>
      </c>
      <c r="AC32" s="574" t="e">
        <f>#REF!-H32</f>
        <v>#REF!</v>
      </c>
      <c r="AD32" s="575" t="e">
        <f>#REF!-I32</f>
        <v>#REF!</v>
      </c>
      <c r="AE32" s="576">
        <f t="shared" si="17"/>
        <v>4333.45</v>
      </c>
      <c r="AF32" s="608">
        <v>4333.45</v>
      </c>
      <c r="AG32" s="577">
        <f t="shared" si="9"/>
        <v>450.51280091533187</v>
      </c>
      <c r="AH32" s="578" t="e">
        <f t="shared" si="18"/>
        <v>#DIV/0!</v>
      </c>
      <c r="AI32" s="579">
        <f t="shared" si="10"/>
        <v>984.3704700000001</v>
      </c>
      <c r="AJ32" s="566">
        <f>109500/1000</f>
        <v>109.5</v>
      </c>
      <c r="AK32" s="566">
        <v>777.08</v>
      </c>
      <c r="AL32" s="599">
        <f>97790.47/1000</f>
        <v>97.79047</v>
      </c>
      <c r="AM32" s="544">
        <f t="shared" si="11"/>
        <v>6.00625297093412</v>
      </c>
      <c r="AN32" s="545">
        <f t="shared" si="12"/>
        <v>0.7558479190901116</v>
      </c>
      <c r="AO32" s="580">
        <v>998.08</v>
      </c>
      <c r="AP32" s="580">
        <v>625.96</v>
      </c>
      <c r="AQ32" s="580">
        <v>1315.76</v>
      </c>
      <c r="AR32" s="580">
        <v>296.9</v>
      </c>
      <c r="AS32" s="581">
        <f t="shared" si="19"/>
        <v>2313.84</v>
      </c>
      <c r="AT32" s="581">
        <f t="shared" si="19"/>
        <v>922.86</v>
      </c>
      <c r="AU32" s="582">
        <f t="shared" si="13"/>
        <v>17.884269797532045</v>
      </c>
      <c r="AV32" s="583"/>
      <c r="AW32" s="596"/>
      <c r="AX32" s="585"/>
      <c r="AY32" s="586">
        <f t="shared" si="14"/>
        <v>0</v>
      </c>
      <c r="AZ32" s="601"/>
      <c r="BA32" s="588"/>
      <c r="BB32" s="589"/>
      <c r="BC32" s="590"/>
      <c r="BD32" s="602"/>
      <c r="BE32" s="602"/>
      <c r="BF32" s="602"/>
      <c r="BG32" s="602"/>
      <c r="BH32" s="603"/>
      <c r="BI32" s="604"/>
      <c r="BJ32" s="604"/>
      <c r="BK32" s="604"/>
      <c r="BL32" s="604"/>
      <c r="BM32" s="604"/>
      <c r="BN32" s="604"/>
      <c r="BO32" s="593" t="e">
        <f>#REF!/#REF!</f>
        <v>#REF!</v>
      </c>
    </row>
    <row r="33" spans="1:67" ht="15.75" customHeight="1">
      <c r="A33" s="561" t="s">
        <v>272</v>
      </c>
      <c r="B33" s="562">
        <f t="shared" si="5"/>
        <v>0</v>
      </c>
      <c r="C33" s="562">
        <f t="shared" si="6"/>
        <v>0</v>
      </c>
      <c r="D33" s="563">
        <f t="shared" si="7"/>
        <v>6038.484513274337</v>
      </c>
      <c r="E33" s="563">
        <f t="shared" si="8"/>
        <v>242.3780084401765</v>
      </c>
      <c r="F33" s="564">
        <v>1808</v>
      </c>
      <c r="G33" s="565"/>
      <c r="H33" s="566">
        <v>10917.58</v>
      </c>
      <c r="I33" s="567">
        <v>4653.15</v>
      </c>
      <c r="J33" s="531">
        <f t="shared" si="15"/>
        <v>0.426207089849582</v>
      </c>
      <c r="K33" s="568">
        <v>2248.6</v>
      </c>
      <c r="L33" s="567">
        <v>1365</v>
      </c>
      <c r="M33" s="562">
        <f t="shared" si="16"/>
        <v>20.59613943749439</v>
      </c>
      <c r="N33" s="569">
        <v>2232.7</v>
      </c>
      <c r="O33" s="570">
        <v>1361</v>
      </c>
      <c r="P33" s="571">
        <f t="shared" si="0"/>
        <v>0.609575849867873</v>
      </c>
      <c r="Q33" s="572">
        <v>834.33</v>
      </c>
      <c r="R33" s="572">
        <v>463.29</v>
      </c>
      <c r="S33" s="571">
        <f t="shared" si="1"/>
        <v>0.5552838804789472</v>
      </c>
      <c r="T33" s="600">
        <v>778.47</v>
      </c>
      <c r="U33" s="570">
        <v>61.56</v>
      </c>
      <c r="V33" s="573">
        <f t="shared" si="20"/>
        <v>0.07907819183783575</v>
      </c>
      <c r="W33" s="570">
        <v>0</v>
      </c>
      <c r="X33" s="570">
        <v>0</v>
      </c>
      <c r="Y33" s="573" t="e">
        <f t="shared" si="21"/>
        <v>#DIV/0!</v>
      </c>
      <c r="Z33" s="570">
        <v>710</v>
      </c>
      <c r="AA33" s="570">
        <v>0</v>
      </c>
      <c r="AB33" s="573">
        <f t="shared" si="22"/>
        <v>0</v>
      </c>
      <c r="AC33" s="574" t="e">
        <f>#REF!-H33</f>
        <v>#REF!</v>
      </c>
      <c r="AD33" s="575" t="e">
        <f>#REF!-I33</f>
        <v>#REF!</v>
      </c>
      <c r="AE33" s="576">
        <f t="shared" si="17"/>
        <v>5155.64</v>
      </c>
      <c r="AF33" s="609">
        <v>5155.64</v>
      </c>
      <c r="AG33" s="577">
        <f t="shared" si="9"/>
        <v>432.0674778761062</v>
      </c>
      <c r="AH33" s="578" t="e">
        <f t="shared" si="18"/>
        <v>#DIV/0!</v>
      </c>
      <c r="AI33" s="579">
        <f t="shared" si="10"/>
        <v>781.178</v>
      </c>
      <c r="AJ33" s="566">
        <f>228880/1000</f>
        <v>228.88</v>
      </c>
      <c r="AK33" s="566">
        <f>326212/1000</f>
        <v>326.212</v>
      </c>
      <c r="AL33" s="566">
        <f>226086/1000</f>
        <v>226.086</v>
      </c>
      <c r="AM33" s="544">
        <f t="shared" si="11"/>
        <v>2.987951542374775</v>
      </c>
      <c r="AN33" s="545">
        <f t="shared" si="12"/>
        <v>2.07084353858639</v>
      </c>
      <c r="AO33" s="580">
        <f>148000/1000</f>
        <v>148</v>
      </c>
      <c r="AP33" s="580">
        <v>16.73</v>
      </c>
      <c r="AQ33" s="580">
        <f>505100/1000</f>
        <v>505.1</v>
      </c>
      <c r="AR33" s="580">
        <v>95.55</v>
      </c>
      <c r="AS33" s="581">
        <f t="shared" si="19"/>
        <v>653.1</v>
      </c>
      <c r="AT33" s="581">
        <f t="shared" si="19"/>
        <v>112.28</v>
      </c>
      <c r="AU33" s="582">
        <f t="shared" si="13"/>
        <v>5.982094933126206</v>
      </c>
      <c r="AV33" s="583"/>
      <c r="AW33" s="596"/>
      <c r="AX33" s="585"/>
      <c r="AY33" s="586">
        <f t="shared" si="14"/>
        <v>0</v>
      </c>
      <c r="AZ33" s="601"/>
      <c r="BA33" s="588"/>
      <c r="BB33" s="589"/>
      <c r="BC33" s="590"/>
      <c r="BD33" s="602"/>
      <c r="BE33" s="602"/>
      <c r="BF33" s="602"/>
      <c r="BG33" s="602"/>
      <c r="BH33" s="603"/>
      <c r="BI33" s="604"/>
      <c r="BJ33" s="604"/>
      <c r="BK33" s="604"/>
      <c r="BL33" s="604"/>
      <c r="BM33" s="604"/>
      <c r="BN33" s="604"/>
      <c r="BO33" s="593" t="e">
        <f>#REF!/#REF!</f>
        <v>#REF!</v>
      </c>
    </row>
    <row r="34" spans="1:67" s="649" customFormat="1" ht="16.5" thickBot="1">
      <c r="A34" s="610" t="s">
        <v>273</v>
      </c>
      <c r="B34" s="611">
        <f t="shared" si="5"/>
        <v>0</v>
      </c>
      <c r="C34" s="611">
        <f t="shared" si="6"/>
        <v>0</v>
      </c>
      <c r="D34" s="612">
        <f t="shared" si="7"/>
        <v>4075.7093387621508</v>
      </c>
      <c r="E34" s="612">
        <f t="shared" si="8"/>
        <v>163.59441020981197</v>
      </c>
      <c r="F34" s="613">
        <f>SUM(F10:F33)</f>
        <v>100206</v>
      </c>
      <c r="G34" s="614">
        <f>SUM(G10:G33)</f>
        <v>0</v>
      </c>
      <c r="H34" s="615">
        <f>SUM(H10:H33)</f>
        <v>408410.53</v>
      </c>
      <c r="I34" s="615">
        <f>SUM(I10:I33)</f>
        <v>250904.65</v>
      </c>
      <c r="J34" s="616">
        <f>I34/H34*100%</f>
        <v>0.6143442236908044</v>
      </c>
      <c r="K34" s="617">
        <f>SUM(K10:K33)</f>
        <v>68272.40000000002</v>
      </c>
      <c r="L34" s="618">
        <f>SUM(L10:L33)</f>
        <v>48878.8</v>
      </c>
      <c r="M34" s="619">
        <f t="shared" si="16"/>
        <v>16.716611102069287</v>
      </c>
      <c r="N34" s="620">
        <f>SUM(N10:N33)</f>
        <v>65878.1</v>
      </c>
      <c r="O34" s="620">
        <f>SUM(O10:O33)</f>
        <v>47670.7</v>
      </c>
      <c r="P34" s="621">
        <f t="shared" si="0"/>
        <v>0.7236198372448506</v>
      </c>
      <c r="Q34" s="622">
        <f>SUM(Q10:Q33)</f>
        <v>34522.59999999999</v>
      </c>
      <c r="R34" s="622">
        <f>SUM(R10:R33)</f>
        <v>16516.37</v>
      </c>
      <c r="S34" s="621">
        <f t="shared" si="1"/>
        <v>0.47842196126595343</v>
      </c>
      <c r="T34" s="623">
        <f>SUM(T10:T33)</f>
        <v>39386.23000000001</v>
      </c>
      <c r="U34" s="623">
        <f>SUM(U10:U33)</f>
        <v>18217.64</v>
      </c>
      <c r="V34" s="624">
        <f t="shared" si="20"/>
        <v>0.4625383033613523</v>
      </c>
      <c r="W34" s="623">
        <f>SUM(W10:W33)</f>
        <v>23746.29316</v>
      </c>
      <c r="X34" s="623">
        <f>SUM(X10:X33)</f>
        <v>8486.82</v>
      </c>
      <c r="Y34" s="624">
        <f t="shared" si="21"/>
        <v>0.3573955708714917</v>
      </c>
      <c r="Z34" s="623">
        <f>SUM(Z10:Z33)</f>
        <v>14773.657599999999</v>
      </c>
      <c r="AA34" s="623">
        <f>SUM(AA10:AA33)</f>
        <v>9033.880000000001</v>
      </c>
      <c r="AB34" s="624">
        <f t="shared" si="22"/>
        <v>0.6114856756934722</v>
      </c>
      <c r="AC34" s="625">
        <v>-1828.79</v>
      </c>
      <c r="AD34" s="626">
        <v>1236.73</v>
      </c>
      <c r="AE34" s="627">
        <f>SUM(AE10:AE33)</f>
        <v>128914.17299999998</v>
      </c>
      <c r="AF34" s="628">
        <f>SUM(AF10:AF33)</f>
        <v>124850.393</v>
      </c>
      <c r="AG34" s="629">
        <f t="shared" si="9"/>
        <v>459.73440941660175</v>
      </c>
      <c r="AH34" s="630" t="e">
        <f t="shared" si="18"/>
        <v>#DIV/0!</v>
      </c>
      <c r="AI34" s="631">
        <f>SUM(AI10:AI33)</f>
        <v>46068.14623</v>
      </c>
      <c r="AJ34" s="620">
        <f>SUM(AJ10:AJ33)</f>
        <v>1292.0500000000002</v>
      </c>
      <c r="AK34" s="620">
        <f>SUM(AK10:AK33)</f>
        <v>33595.491760000004</v>
      </c>
      <c r="AL34" s="632">
        <f>SUM(AL10:AL33)</f>
        <v>11180.604470000002</v>
      </c>
      <c r="AM34" s="633">
        <f t="shared" si="11"/>
        <v>8.225912235906357</v>
      </c>
      <c r="AN34" s="634">
        <f t="shared" si="12"/>
        <v>2.737589667435852</v>
      </c>
      <c r="AO34" s="635">
        <f aca="true" t="shared" si="23" ref="AO34:AT34">SUM(AO10:AO33)</f>
        <v>25272.630000000005</v>
      </c>
      <c r="AP34" s="636">
        <f t="shared" si="23"/>
        <v>15015.400000000001</v>
      </c>
      <c r="AQ34" s="637">
        <f t="shared" si="23"/>
        <v>87033.66284</v>
      </c>
      <c r="AR34" s="635">
        <f t="shared" si="23"/>
        <v>53959.84634</v>
      </c>
      <c r="AS34" s="638">
        <f t="shared" si="23"/>
        <v>112306.29284000004</v>
      </c>
      <c r="AT34" s="639">
        <f t="shared" si="23"/>
        <v>68975.24634</v>
      </c>
      <c r="AU34" s="640">
        <f t="shared" si="13"/>
        <v>27.498383266464757</v>
      </c>
      <c r="AV34" s="641">
        <f>SUM(AV10:AV33)</f>
        <v>0</v>
      </c>
      <c r="AW34" s="642">
        <f>SUM(AW10:AW33)</f>
        <v>0</v>
      </c>
      <c r="AX34" s="643"/>
      <c r="AY34" s="644">
        <f t="shared" si="14"/>
        <v>0</v>
      </c>
      <c r="AZ34" s="645">
        <f>SUM(AZ10:AZ33)</f>
        <v>0</v>
      </c>
      <c r="BA34" s="645">
        <f>SUM(BA10:BA33)</f>
        <v>0</v>
      </c>
      <c r="BB34" s="646">
        <f>SUM(BB10:BB33)</f>
        <v>0</v>
      </c>
      <c r="BC34" s="646"/>
      <c r="BD34" s="645">
        <f>SUM(BD10:BD33)</f>
        <v>0</v>
      </c>
      <c r="BE34" s="645"/>
      <c r="BF34" s="645">
        <f>SUM(BF10:BF33)</f>
        <v>0</v>
      </c>
      <c r="BG34" s="645">
        <f>SUM(BG10:BG33)</f>
        <v>0</v>
      </c>
      <c r="BH34" s="645"/>
      <c r="BI34" s="647">
        <f aca="true" t="shared" si="24" ref="BI34:BN34">SUM(BI10:BI33)</f>
        <v>0</v>
      </c>
      <c r="BJ34" s="647">
        <f t="shared" si="24"/>
        <v>0</v>
      </c>
      <c r="BK34" s="647">
        <f t="shared" si="24"/>
        <v>0</v>
      </c>
      <c r="BL34" s="647">
        <f t="shared" si="24"/>
        <v>0</v>
      </c>
      <c r="BM34" s="647">
        <f t="shared" si="24"/>
        <v>0</v>
      </c>
      <c r="BN34" s="647">
        <f t="shared" si="24"/>
        <v>0</v>
      </c>
      <c r="BO34" s="648" t="e">
        <f>#REF!/#REF!</f>
        <v>#REF!</v>
      </c>
    </row>
    <row r="35" spans="11:55" ht="40.5" customHeight="1">
      <c r="K35" s="653"/>
      <c r="T35" s="655">
        <f>28228309.03/1000</f>
        <v>28228.30903</v>
      </c>
      <c r="AC35" s="656"/>
      <c r="AD35" s="656"/>
      <c r="AO35" s="657"/>
      <c r="AP35" s="657"/>
      <c r="AQ35" s="657"/>
      <c r="AR35" s="657"/>
      <c r="AS35" s="657"/>
      <c r="AT35" s="657"/>
      <c r="AU35" s="658"/>
      <c r="AV35" s="658"/>
      <c r="AW35" s="658"/>
      <c r="AX35" s="658"/>
      <c r="AY35" s="658"/>
      <c r="AZ35" s="658"/>
      <c r="BA35" s="658"/>
      <c r="BB35" s="658"/>
      <c r="BC35" s="658"/>
    </row>
    <row r="36" spans="2:55" ht="15.75">
      <c r="B36" s="659"/>
      <c r="C36" s="659"/>
      <c r="D36" s="659"/>
      <c r="E36" s="659"/>
      <c r="F36" s="659"/>
      <c r="G36" s="659"/>
      <c r="H36" s="660"/>
      <c r="I36" s="660"/>
      <c r="J36" s="659"/>
      <c r="K36" s="660"/>
      <c r="L36" s="660"/>
      <c r="M36" s="659"/>
      <c r="N36" s="661"/>
      <c r="O36" s="661"/>
      <c r="P36" s="659"/>
      <c r="Q36" s="660"/>
      <c r="R36" s="660"/>
      <c r="S36" s="659"/>
      <c r="T36" s="661">
        <f>T34-2822830.9</f>
        <v>-2783444.67</v>
      </c>
      <c r="U36" s="659"/>
      <c r="V36" s="659"/>
      <c r="W36" s="659"/>
      <c r="X36" s="659"/>
      <c r="Y36" s="659"/>
      <c r="Z36" s="660"/>
      <c r="AA36" s="660"/>
      <c r="AB36" s="659"/>
      <c r="AC36" s="662"/>
      <c r="AD36" s="662"/>
      <c r="AE36" s="663"/>
      <c r="AF36" s="663"/>
      <c r="AG36" s="663"/>
      <c r="AH36" s="663"/>
      <c r="AI36" s="663"/>
      <c r="AJ36" s="663"/>
      <c r="AK36" s="664"/>
      <c r="AL36" s="664"/>
      <c r="AO36" s="665"/>
      <c r="AP36" s="665"/>
      <c r="AQ36" s="665"/>
      <c r="AR36" s="665"/>
      <c r="AS36" s="665"/>
      <c r="AT36" s="665"/>
      <c r="AU36" s="666"/>
      <c r="AV36" s="666"/>
      <c r="AW36" s="666"/>
      <c r="AX36" s="666"/>
      <c r="AY36" s="666"/>
      <c r="AZ36" s="666"/>
      <c r="BA36" s="666"/>
      <c r="BB36" s="666"/>
      <c r="BC36" s="666"/>
    </row>
    <row r="37" spans="2:40" ht="35.25" customHeight="1">
      <c r="B37" s="659"/>
      <c r="C37" s="659"/>
      <c r="D37" s="659"/>
      <c r="E37" s="659"/>
      <c r="F37" s="659"/>
      <c r="G37" s="659"/>
      <c r="H37" s="660"/>
      <c r="I37" s="660"/>
      <c r="J37" s="659"/>
      <c r="K37" s="660"/>
      <c r="L37" s="660"/>
      <c r="M37" s="659"/>
      <c r="N37" s="661"/>
      <c r="O37" s="661"/>
      <c r="P37" s="659"/>
      <c r="Q37" s="660"/>
      <c r="R37" s="660"/>
      <c r="S37" s="659"/>
      <c r="T37" s="661">
        <f>T34-T35</f>
        <v>11157.92097000001</v>
      </c>
      <c r="U37" s="659"/>
      <c r="V37" s="659"/>
      <c r="W37" s="659"/>
      <c r="X37" s="659"/>
      <c r="Y37" s="659"/>
      <c r="Z37" s="660"/>
      <c r="AA37" s="660"/>
      <c r="AB37" s="659"/>
      <c r="AC37" s="662"/>
      <c r="AD37" s="662"/>
      <c r="AE37" s="667"/>
      <c r="AF37" s="667"/>
      <c r="AG37" s="663"/>
      <c r="AH37" s="667"/>
      <c r="AI37" s="667"/>
      <c r="AJ37" s="667"/>
      <c r="AK37" s="668"/>
      <c r="AL37" s="668"/>
      <c r="AM37" s="667"/>
      <c r="AN37" s="667"/>
    </row>
    <row r="38" spans="2:33" ht="15.75">
      <c r="B38" s="670"/>
      <c r="C38" s="670"/>
      <c r="D38" s="670"/>
      <c r="E38" s="670"/>
      <c r="F38" s="670"/>
      <c r="G38" s="670"/>
      <c r="H38" s="670"/>
      <c r="I38" s="670"/>
      <c r="J38" s="670"/>
      <c r="K38" s="670"/>
      <c r="L38" s="670"/>
      <c r="M38" s="670"/>
      <c r="N38" s="671"/>
      <c r="O38" s="671"/>
      <c r="P38" s="670"/>
      <c r="Q38" s="670"/>
      <c r="R38" s="670"/>
      <c r="S38" s="670"/>
      <c r="T38" s="671"/>
      <c r="U38" s="670"/>
      <c r="V38" s="670"/>
      <c r="W38" s="670"/>
      <c r="X38" s="670"/>
      <c r="Y38" s="670"/>
      <c r="Z38" s="670"/>
      <c r="AA38" s="670"/>
      <c r="AB38" s="670"/>
      <c r="AC38" s="670"/>
      <c r="AD38" s="670"/>
      <c r="AG38" s="663"/>
    </row>
    <row r="39" spans="2:33" ht="15.75">
      <c r="B39" s="670"/>
      <c r="C39" s="670"/>
      <c r="D39" s="670"/>
      <c r="E39" s="670"/>
      <c r="F39" s="670"/>
      <c r="G39" s="670"/>
      <c r="H39" s="670"/>
      <c r="I39" s="670"/>
      <c r="J39" s="670"/>
      <c r="K39" s="670"/>
      <c r="L39" s="670"/>
      <c r="M39" s="670"/>
      <c r="N39" s="671"/>
      <c r="O39" s="671"/>
      <c r="P39" s="670"/>
      <c r="Q39" s="670"/>
      <c r="R39" s="670"/>
      <c r="S39" s="670"/>
      <c r="T39" s="671"/>
      <c r="U39" s="670"/>
      <c r="V39" s="670"/>
      <c r="W39" s="670"/>
      <c r="X39" s="670"/>
      <c r="Y39" s="670"/>
      <c r="Z39" s="670"/>
      <c r="AA39" s="670"/>
      <c r="AB39" s="670"/>
      <c r="AC39" s="670"/>
      <c r="AD39" s="670"/>
      <c r="AG39" s="663"/>
    </row>
    <row r="40" spans="29:33" ht="15.75">
      <c r="AC40" s="656"/>
      <c r="AD40" s="656"/>
      <c r="AG40" s="663"/>
    </row>
    <row r="41" spans="29:33" ht="15.75">
      <c r="AC41" s="656"/>
      <c r="AD41" s="656"/>
      <c r="AG41" s="663"/>
    </row>
    <row r="42" spans="29:33" ht="15.75">
      <c r="AC42" s="656"/>
      <c r="AD42" s="656"/>
      <c r="AG42" s="663"/>
    </row>
    <row r="43" spans="29:42" ht="15.75">
      <c r="AC43" s="656"/>
      <c r="AD43" s="656"/>
      <c r="AG43" s="663"/>
      <c r="AP43" s="673"/>
    </row>
    <row r="44" spans="29:33" ht="15.75">
      <c r="AC44" s="656"/>
      <c r="AD44" s="656"/>
      <c r="AG44" s="663"/>
    </row>
    <row r="45" spans="29:33" ht="15.75">
      <c r="AC45" s="656"/>
      <c r="AD45" s="656"/>
      <c r="AG45" s="663"/>
    </row>
    <row r="46" spans="29:33" ht="15.75">
      <c r="AC46" s="656"/>
      <c r="AD46" s="656"/>
      <c r="AG46" s="663"/>
    </row>
    <row r="47" spans="29:33" ht="15.75">
      <c r="AC47" s="656"/>
      <c r="AD47" s="656"/>
      <c r="AG47" s="663"/>
    </row>
    <row r="48" spans="29:33" ht="15.75">
      <c r="AC48" s="656"/>
      <c r="AD48" s="656"/>
      <c r="AG48" s="663"/>
    </row>
    <row r="49" spans="29:33" ht="15.75">
      <c r="AC49" s="656"/>
      <c r="AD49" s="656"/>
      <c r="AG49" s="663"/>
    </row>
    <row r="50" spans="29:33" ht="15.75">
      <c r="AC50" s="656"/>
      <c r="AD50" s="656"/>
      <c r="AG50" s="663"/>
    </row>
    <row r="51" spans="29:33" ht="15.75">
      <c r="AC51" s="656"/>
      <c r="AD51" s="656"/>
      <c r="AG51" s="663"/>
    </row>
    <row r="52" spans="29:33" ht="15.75">
      <c r="AC52" s="656"/>
      <c r="AD52" s="656"/>
      <c r="AG52" s="663"/>
    </row>
    <row r="53" spans="29:33" ht="15.75">
      <c r="AC53" s="656"/>
      <c r="AD53" s="656"/>
      <c r="AG53" s="663"/>
    </row>
    <row r="54" spans="29:33" ht="15.75">
      <c r="AC54" s="656"/>
      <c r="AD54" s="656"/>
      <c r="AG54" s="663"/>
    </row>
    <row r="55" spans="29:33" ht="15.75">
      <c r="AC55" s="656"/>
      <c r="AD55" s="656"/>
      <c r="AG55" s="663"/>
    </row>
    <row r="56" spans="29:33" ht="15.75">
      <c r="AC56" s="656"/>
      <c r="AD56" s="656"/>
      <c r="AG56" s="663"/>
    </row>
    <row r="57" spans="29:33" ht="15.75">
      <c r="AC57" s="656"/>
      <c r="AD57" s="656"/>
      <c r="AG57" s="663"/>
    </row>
    <row r="58" spans="29:33" ht="15.75">
      <c r="AC58" s="656"/>
      <c r="AD58" s="656"/>
      <c r="AG58" s="663"/>
    </row>
    <row r="59" spans="29:33" ht="15.75">
      <c r="AC59" s="656"/>
      <c r="AD59" s="656"/>
      <c r="AG59" s="663"/>
    </row>
    <row r="60" spans="29:33" ht="15.75">
      <c r="AC60" s="656"/>
      <c r="AD60" s="656"/>
      <c r="AG60" s="663"/>
    </row>
    <row r="61" spans="29:33" ht="15.75">
      <c r="AC61" s="656"/>
      <c r="AD61" s="656"/>
      <c r="AG61" s="663"/>
    </row>
    <row r="62" spans="29:33" ht="15.75">
      <c r="AC62" s="656"/>
      <c r="AD62" s="656"/>
      <c r="AG62" s="663"/>
    </row>
    <row r="63" spans="29:33" ht="15.75">
      <c r="AC63" s="656"/>
      <c r="AD63" s="656"/>
      <c r="AG63" s="663"/>
    </row>
    <row r="64" spans="29:33" ht="15.75">
      <c r="AC64" s="656"/>
      <c r="AD64" s="656"/>
      <c r="AG64" s="663"/>
    </row>
    <row r="65" spans="29:33" ht="15.75">
      <c r="AC65" s="656"/>
      <c r="AD65" s="656"/>
      <c r="AG65" s="663"/>
    </row>
    <row r="66" spans="29:33" ht="15.75">
      <c r="AC66" s="656"/>
      <c r="AD66" s="656"/>
      <c r="AG66" s="663"/>
    </row>
    <row r="67" spans="29:33" ht="15.75">
      <c r="AC67" s="656"/>
      <c r="AD67" s="656"/>
      <c r="AG67" s="663"/>
    </row>
    <row r="68" spans="29:33" ht="15.75">
      <c r="AC68" s="656"/>
      <c r="AD68" s="656"/>
      <c r="AG68" s="663"/>
    </row>
    <row r="69" spans="29:33" ht="15.75">
      <c r="AC69" s="656"/>
      <c r="AD69" s="656"/>
      <c r="AG69" s="663"/>
    </row>
    <row r="70" spans="29:33" ht="15.75">
      <c r="AC70" s="656"/>
      <c r="AD70" s="656"/>
      <c r="AG70" s="663"/>
    </row>
    <row r="71" spans="29:33" ht="15.75">
      <c r="AC71" s="656"/>
      <c r="AD71" s="656"/>
      <c r="AG71" s="663"/>
    </row>
    <row r="72" spans="29:33" ht="15.75">
      <c r="AC72" s="656"/>
      <c r="AD72" s="656"/>
      <c r="AG72" s="663"/>
    </row>
    <row r="73" spans="29:33" ht="15.75">
      <c r="AC73" s="656"/>
      <c r="AD73" s="656"/>
      <c r="AG73" s="663"/>
    </row>
    <row r="74" spans="29:33" ht="15.75">
      <c r="AC74" s="656"/>
      <c r="AD74" s="656"/>
      <c r="AG74" s="663"/>
    </row>
    <row r="75" spans="29:33" ht="15.75">
      <c r="AC75" s="656"/>
      <c r="AD75" s="656"/>
      <c r="AG75" s="663"/>
    </row>
    <row r="76" spans="29:33" ht="15.75">
      <c r="AC76" s="656"/>
      <c r="AD76" s="656"/>
      <c r="AG76" s="663"/>
    </row>
    <row r="77" spans="29:33" ht="15.75">
      <c r="AC77" s="656"/>
      <c r="AD77" s="656"/>
      <c r="AG77" s="663"/>
    </row>
    <row r="78" spans="29:33" ht="15.75">
      <c r="AC78" s="656"/>
      <c r="AD78" s="656"/>
      <c r="AG78" s="663"/>
    </row>
    <row r="79" spans="29:33" ht="15.75">
      <c r="AC79" s="656"/>
      <c r="AD79" s="656"/>
      <c r="AG79" s="663"/>
    </row>
    <row r="80" spans="29:33" ht="15.75">
      <c r="AC80" s="656"/>
      <c r="AD80" s="656"/>
      <c r="AG80" s="663"/>
    </row>
    <row r="81" spans="29:33" ht="15.75">
      <c r="AC81" s="656"/>
      <c r="AD81" s="656"/>
      <c r="AG81" s="663"/>
    </row>
    <row r="82" spans="29:30" ht="15.75">
      <c r="AC82" s="656"/>
      <c r="AD82" s="656"/>
    </row>
    <row r="83" spans="29:30" ht="15.75">
      <c r="AC83" s="656"/>
      <c r="AD83" s="656"/>
    </row>
    <row r="84" spans="29:30" ht="15.75">
      <c r="AC84" s="656"/>
      <c r="AD84" s="656"/>
    </row>
    <row r="85" spans="29:30" ht="15.75">
      <c r="AC85" s="656"/>
      <c r="AD85" s="656"/>
    </row>
    <row r="86" spans="29:30" ht="15.75">
      <c r="AC86" s="656"/>
      <c r="AD86" s="656"/>
    </row>
    <row r="87" spans="29:30" ht="15.75">
      <c r="AC87" s="656"/>
      <c r="AD87" s="656"/>
    </row>
    <row r="88" spans="29:30" ht="15.75">
      <c r="AC88" s="656"/>
      <c r="AD88" s="656"/>
    </row>
    <row r="89" spans="29:30" ht="15.75">
      <c r="AC89" s="656"/>
      <c r="AD89" s="656"/>
    </row>
    <row r="90" spans="29:30" ht="15.75">
      <c r="AC90" s="656"/>
      <c r="AD90" s="656"/>
    </row>
    <row r="91" spans="29:30" ht="15.75">
      <c r="AC91" s="656"/>
      <c r="AD91" s="656"/>
    </row>
    <row r="92" spans="29:30" ht="15.75">
      <c r="AC92" s="656"/>
      <c r="AD92" s="656"/>
    </row>
    <row r="93" spans="29:30" ht="15.75">
      <c r="AC93" s="656"/>
      <c r="AD93" s="656"/>
    </row>
    <row r="94" spans="29:30" ht="15.75">
      <c r="AC94" s="656"/>
      <c r="AD94" s="656"/>
    </row>
    <row r="95" spans="29:30" ht="15.75">
      <c r="AC95" s="656"/>
      <c r="AD95" s="656"/>
    </row>
    <row r="96" spans="29:30" ht="15.75">
      <c r="AC96" s="656"/>
      <c r="AD96" s="656"/>
    </row>
    <row r="97" spans="29:30" ht="15.75">
      <c r="AC97" s="656"/>
      <c r="AD97" s="656"/>
    </row>
    <row r="98" spans="29:30" ht="15.75">
      <c r="AC98" s="656"/>
      <c r="AD98" s="656"/>
    </row>
    <row r="99" spans="29:30" ht="15.75">
      <c r="AC99" s="656"/>
      <c r="AD99" s="656"/>
    </row>
    <row r="100" spans="29:30" ht="15.75">
      <c r="AC100" s="656"/>
      <c r="AD100" s="656"/>
    </row>
    <row r="101" spans="29:30" ht="15.75">
      <c r="AC101" s="656"/>
      <c r="AD101" s="656"/>
    </row>
    <row r="102" spans="29:30" ht="15.75">
      <c r="AC102" s="656"/>
      <c r="AD102" s="656"/>
    </row>
    <row r="103" spans="29:30" ht="15.75">
      <c r="AC103" s="656"/>
      <c r="AD103" s="656"/>
    </row>
    <row r="104" spans="29:30" ht="15.75">
      <c r="AC104" s="656"/>
      <c r="AD104" s="656"/>
    </row>
    <row r="105" spans="29:30" ht="15.75">
      <c r="AC105" s="656"/>
      <c r="AD105" s="656"/>
    </row>
    <row r="106" spans="29:30" ht="15.75">
      <c r="AC106" s="656"/>
      <c r="AD106" s="656"/>
    </row>
    <row r="107" spans="29:30" ht="15.75">
      <c r="AC107" s="656"/>
      <c r="AD107" s="656"/>
    </row>
    <row r="108" spans="29:30" ht="15.75">
      <c r="AC108" s="656"/>
      <c r="AD108" s="656"/>
    </row>
    <row r="109" spans="29:30" ht="15.75">
      <c r="AC109" s="656"/>
      <c r="AD109" s="656"/>
    </row>
    <row r="110" spans="29:30" ht="15.75">
      <c r="AC110" s="656"/>
      <c r="AD110" s="656"/>
    </row>
    <row r="111" spans="29:30" ht="15.75">
      <c r="AC111" s="656"/>
      <c r="AD111" s="656"/>
    </row>
    <row r="112" spans="29:30" ht="15.75">
      <c r="AC112" s="656"/>
      <c r="AD112" s="656"/>
    </row>
    <row r="113" spans="29:30" ht="15.75">
      <c r="AC113" s="656"/>
      <c r="AD113" s="656"/>
    </row>
    <row r="114" spans="29:30" ht="15.75">
      <c r="AC114" s="656"/>
      <c r="AD114" s="656"/>
    </row>
    <row r="115" spans="29:30" ht="15.75">
      <c r="AC115" s="656"/>
      <c r="AD115" s="656"/>
    </row>
    <row r="116" spans="29:30" ht="15.75">
      <c r="AC116" s="656"/>
      <c r="AD116" s="656"/>
    </row>
    <row r="117" spans="29:30" ht="15.75">
      <c r="AC117" s="656"/>
      <c r="AD117" s="656"/>
    </row>
    <row r="118" spans="29:30" ht="15.75">
      <c r="AC118" s="656"/>
      <c r="AD118" s="656"/>
    </row>
    <row r="119" spans="29:30" ht="15.75">
      <c r="AC119" s="656"/>
      <c r="AD119" s="656"/>
    </row>
    <row r="120" spans="29:30" ht="15.75">
      <c r="AC120" s="656"/>
      <c r="AD120" s="656"/>
    </row>
    <row r="121" spans="29:30" ht="15.75">
      <c r="AC121" s="656"/>
      <c r="AD121" s="656"/>
    </row>
    <row r="122" spans="29:30" ht="15.75">
      <c r="AC122" s="656"/>
      <c r="AD122" s="656"/>
    </row>
    <row r="123" spans="29:30" ht="15.75">
      <c r="AC123" s="656"/>
      <c r="AD123" s="656"/>
    </row>
    <row r="124" spans="29:30" ht="15.75">
      <c r="AC124" s="656"/>
      <c r="AD124" s="656"/>
    </row>
    <row r="125" spans="29:30" ht="15.75">
      <c r="AC125" s="656"/>
      <c r="AD125" s="656"/>
    </row>
    <row r="126" spans="29:30" ht="15.75">
      <c r="AC126" s="656"/>
      <c r="AD126" s="656"/>
    </row>
    <row r="127" spans="29:30" ht="15.75">
      <c r="AC127" s="656"/>
      <c r="AD127" s="656"/>
    </row>
    <row r="128" spans="29:30" ht="15.75">
      <c r="AC128" s="656"/>
      <c r="AD128" s="656"/>
    </row>
    <row r="129" spans="29:30" ht="15.75">
      <c r="AC129" s="656"/>
      <c r="AD129" s="656"/>
    </row>
    <row r="130" spans="29:30" ht="15.75">
      <c r="AC130" s="656"/>
      <c r="AD130" s="656"/>
    </row>
    <row r="131" spans="29:30" ht="15.75">
      <c r="AC131" s="656"/>
      <c r="AD131" s="656"/>
    </row>
    <row r="132" spans="29:30" ht="15.75">
      <c r="AC132" s="656"/>
      <c r="AD132" s="656"/>
    </row>
    <row r="133" spans="29:30" ht="15.75">
      <c r="AC133" s="656"/>
      <c r="AD133" s="656"/>
    </row>
    <row r="134" spans="29:30" ht="15.75">
      <c r="AC134" s="656"/>
      <c r="AD134" s="656"/>
    </row>
    <row r="135" spans="29:30" ht="15.75">
      <c r="AC135" s="656"/>
      <c r="AD135" s="656"/>
    </row>
    <row r="136" spans="29:30" ht="15.75">
      <c r="AC136" s="656"/>
      <c r="AD136" s="656"/>
    </row>
    <row r="137" spans="29:30" ht="15.75">
      <c r="AC137" s="656"/>
      <c r="AD137" s="656"/>
    </row>
    <row r="138" spans="29:30" ht="15.75">
      <c r="AC138" s="656"/>
      <c r="AD138" s="656"/>
    </row>
    <row r="139" spans="29:30" ht="15.75">
      <c r="AC139" s="656"/>
      <c r="AD139" s="656"/>
    </row>
    <row r="140" spans="29:30" ht="15.75">
      <c r="AC140" s="656"/>
      <c r="AD140" s="656"/>
    </row>
    <row r="141" spans="29:30" ht="15.75">
      <c r="AC141" s="656"/>
      <c r="AD141" s="656"/>
    </row>
    <row r="142" spans="29:30" ht="15.75">
      <c r="AC142" s="656"/>
      <c r="AD142" s="656"/>
    </row>
    <row r="143" spans="29:30" ht="15.75">
      <c r="AC143" s="656"/>
      <c r="AD143" s="656"/>
    </row>
    <row r="144" spans="29:30" ht="15.75">
      <c r="AC144" s="656"/>
      <c r="AD144" s="656"/>
    </row>
    <row r="145" spans="29:30" ht="15.75">
      <c r="AC145" s="656"/>
      <c r="AD145" s="656"/>
    </row>
    <row r="146" spans="29:30" ht="15.75">
      <c r="AC146" s="656"/>
      <c r="AD146" s="656"/>
    </row>
    <row r="147" spans="29:30" ht="15.75">
      <c r="AC147" s="656"/>
      <c r="AD147" s="656"/>
    </row>
    <row r="148" spans="29:30" ht="15.75">
      <c r="AC148" s="656"/>
      <c r="AD148" s="656"/>
    </row>
    <row r="149" spans="29:30" ht="15.75">
      <c r="AC149" s="656"/>
      <c r="AD149" s="656"/>
    </row>
    <row r="150" spans="29:30" ht="15.75">
      <c r="AC150" s="656"/>
      <c r="AD150" s="656"/>
    </row>
    <row r="151" spans="29:30" ht="15.75">
      <c r="AC151" s="656"/>
      <c r="AD151" s="656"/>
    </row>
    <row r="152" spans="29:30" ht="15.75">
      <c r="AC152" s="656"/>
      <c r="AD152" s="656"/>
    </row>
    <row r="153" spans="29:30" ht="15.75">
      <c r="AC153" s="656"/>
      <c r="AD153" s="656"/>
    </row>
    <row r="154" spans="29:30" ht="15.75">
      <c r="AC154" s="656"/>
      <c r="AD154" s="656"/>
    </row>
    <row r="155" spans="29:30" ht="15.75">
      <c r="AC155" s="656"/>
      <c r="AD155" s="656"/>
    </row>
    <row r="156" spans="29:30" ht="15.75">
      <c r="AC156" s="656"/>
      <c r="AD156" s="656"/>
    </row>
    <row r="157" spans="29:30" ht="15.75">
      <c r="AC157" s="656"/>
      <c r="AD157" s="656"/>
    </row>
    <row r="158" spans="29:30" ht="15.75">
      <c r="AC158" s="656"/>
      <c r="AD158" s="656"/>
    </row>
    <row r="159" spans="29:30" ht="15.75">
      <c r="AC159" s="656"/>
      <c r="AD159" s="656"/>
    </row>
    <row r="160" spans="29:30" ht="15.75">
      <c r="AC160" s="656"/>
      <c r="AD160" s="656"/>
    </row>
    <row r="161" spans="29:30" ht="15.75">
      <c r="AC161" s="656"/>
      <c r="AD161" s="656"/>
    </row>
    <row r="162" spans="29:30" ht="15.75">
      <c r="AC162" s="656"/>
      <c r="AD162" s="656"/>
    </row>
    <row r="163" spans="29:30" ht="15.75">
      <c r="AC163" s="656"/>
      <c r="AD163" s="656"/>
    </row>
    <row r="164" spans="29:30" ht="15.75">
      <c r="AC164" s="656"/>
      <c r="AD164" s="656"/>
    </row>
    <row r="165" spans="29:30" ht="15.75">
      <c r="AC165" s="656"/>
      <c r="AD165" s="656"/>
    </row>
    <row r="166" spans="29:30" ht="15.75">
      <c r="AC166" s="656"/>
      <c r="AD166" s="656"/>
    </row>
    <row r="167" spans="29:30" ht="15.75">
      <c r="AC167" s="656"/>
      <c r="AD167" s="656"/>
    </row>
    <row r="168" spans="29:30" ht="15.75">
      <c r="AC168" s="656"/>
      <c r="AD168" s="656"/>
    </row>
    <row r="169" spans="29:30" ht="15.75">
      <c r="AC169" s="656"/>
      <c r="AD169" s="656"/>
    </row>
    <row r="170" spans="29:30" ht="15.75">
      <c r="AC170" s="656"/>
      <c r="AD170" s="656"/>
    </row>
    <row r="171" spans="29:30" ht="15.75">
      <c r="AC171" s="656"/>
      <c r="AD171" s="656"/>
    </row>
    <row r="172" spans="29:30" ht="15.75">
      <c r="AC172" s="656"/>
      <c r="AD172" s="656"/>
    </row>
    <row r="173" spans="29:30" ht="15.75">
      <c r="AC173" s="656"/>
      <c r="AD173" s="656"/>
    </row>
    <row r="174" spans="29:30" ht="15.75">
      <c r="AC174" s="656"/>
      <c r="AD174" s="656"/>
    </row>
    <row r="175" spans="29:30" ht="15.75">
      <c r="AC175" s="656"/>
      <c r="AD175" s="656"/>
    </row>
    <row r="176" spans="29:30" ht="15.75">
      <c r="AC176" s="656"/>
      <c r="AD176" s="656"/>
    </row>
    <row r="177" spans="29:30" ht="15.75">
      <c r="AC177" s="656"/>
      <c r="AD177" s="656"/>
    </row>
    <row r="178" spans="29:30" ht="15.75">
      <c r="AC178" s="656"/>
      <c r="AD178" s="656"/>
    </row>
    <row r="179" spans="29:30" ht="15.75">
      <c r="AC179" s="656"/>
      <c r="AD179" s="656"/>
    </row>
    <row r="180" spans="29:30" ht="15.75">
      <c r="AC180" s="656"/>
      <c r="AD180" s="656"/>
    </row>
    <row r="181" spans="29:30" ht="15.75">
      <c r="AC181" s="656"/>
      <c r="AD181" s="656"/>
    </row>
    <row r="182" spans="29:30" ht="15.75">
      <c r="AC182" s="656"/>
      <c r="AD182" s="656"/>
    </row>
    <row r="183" spans="29:30" ht="15.75">
      <c r="AC183" s="656"/>
      <c r="AD183" s="656"/>
    </row>
    <row r="184" spans="29:30" ht="15.75">
      <c r="AC184" s="656"/>
      <c r="AD184" s="656"/>
    </row>
    <row r="185" spans="29:30" ht="15.75">
      <c r="AC185" s="656"/>
      <c r="AD185" s="656"/>
    </row>
    <row r="186" spans="29:30" ht="15.75">
      <c r="AC186" s="656"/>
      <c r="AD186" s="656"/>
    </row>
    <row r="187" spans="29:30" ht="15.75">
      <c r="AC187" s="656"/>
      <c r="AD187" s="656"/>
    </row>
    <row r="188" spans="29:30" ht="15.75">
      <c r="AC188" s="656"/>
      <c r="AD188" s="656"/>
    </row>
    <row r="189" spans="29:30" ht="15.75">
      <c r="AC189" s="656"/>
      <c r="AD189" s="656"/>
    </row>
    <row r="190" spans="29:30" ht="15.75">
      <c r="AC190" s="656"/>
      <c r="AD190" s="656"/>
    </row>
    <row r="191" spans="29:30" ht="15.75">
      <c r="AC191" s="656"/>
      <c r="AD191" s="656"/>
    </row>
    <row r="192" spans="29:30" ht="15.75">
      <c r="AC192" s="656"/>
      <c r="AD192" s="656"/>
    </row>
    <row r="193" spans="29:30" ht="15.75">
      <c r="AC193" s="656"/>
      <c r="AD193" s="656"/>
    </row>
    <row r="194" spans="29:30" ht="15.75">
      <c r="AC194" s="656"/>
      <c r="AD194" s="656"/>
    </row>
    <row r="195" spans="29:30" ht="15.75">
      <c r="AC195" s="656"/>
      <c r="AD195" s="656"/>
    </row>
    <row r="196" spans="29:30" ht="15.75">
      <c r="AC196" s="656"/>
      <c r="AD196" s="656"/>
    </row>
    <row r="197" spans="29:30" ht="15.75">
      <c r="AC197" s="656"/>
      <c r="AD197" s="656"/>
    </row>
    <row r="198" spans="29:30" ht="15.75">
      <c r="AC198" s="656"/>
      <c r="AD198" s="656"/>
    </row>
    <row r="199" spans="29:30" ht="15.75">
      <c r="AC199" s="656"/>
      <c r="AD199" s="656"/>
    </row>
    <row r="200" spans="29:30" ht="15.75">
      <c r="AC200" s="656"/>
      <c r="AD200" s="656"/>
    </row>
    <row r="201" spans="29:30" ht="15.75">
      <c r="AC201" s="656"/>
      <c r="AD201" s="656"/>
    </row>
    <row r="202" spans="29:30" ht="15.75">
      <c r="AC202" s="656"/>
      <c r="AD202" s="656"/>
    </row>
    <row r="203" spans="29:30" ht="15.75">
      <c r="AC203" s="656"/>
      <c r="AD203" s="656"/>
    </row>
    <row r="204" spans="29:30" ht="15.75">
      <c r="AC204" s="656"/>
      <c r="AD204" s="656"/>
    </row>
    <row r="205" spans="29:30" ht="15.75">
      <c r="AC205" s="656"/>
      <c r="AD205" s="656"/>
    </row>
    <row r="206" spans="29:30" ht="15.75">
      <c r="AC206" s="656"/>
      <c r="AD206" s="656"/>
    </row>
    <row r="207" spans="29:30" ht="15.75">
      <c r="AC207" s="656"/>
      <c r="AD207" s="656"/>
    </row>
    <row r="208" spans="29:30" ht="15.75">
      <c r="AC208" s="656"/>
      <c r="AD208" s="656"/>
    </row>
    <row r="209" spans="29:30" ht="15.75">
      <c r="AC209" s="656"/>
      <c r="AD209" s="656"/>
    </row>
    <row r="210" spans="29:30" ht="15.75">
      <c r="AC210" s="656"/>
      <c r="AD210" s="656"/>
    </row>
    <row r="211" spans="29:30" ht="15.75">
      <c r="AC211" s="656"/>
      <c r="AD211" s="656"/>
    </row>
    <row r="212" spans="29:30" ht="15.75">
      <c r="AC212" s="656"/>
      <c r="AD212" s="656"/>
    </row>
    <row r="213" spans="29:30" ht="15.75">
      <c r="AC213" s="656"/>
      <c r="AD213" s="656"/>
    </row>
    <row r="214" spans="29:30" ht="15.75">
      <c r="AC214" s="656"/>
      <c r="AD214" s="656"/>
    </row>
    <row r="215" spans="29:30" ht="15.75">
      <c r="AC215" s="656"/>
      <c r="AD215" s="656"/>
    </row>
    <row r="216" spans="29:30" ht="15.75">
      <c r="AC216" s="656"/>
      <c r="AD216" s="656"/>
    </row>
    <row r="217" spans="29:30" ht="15.75">
      <c r="AC217" s="656"/>
      <c r="AD217" s="656"/>
    </row>
    <row r="218" spans="29:30" ht="15.75">
      <c r="AC218" s="656"/>
      <c r="AD218" s="656"/>
    </row>
    <row r="219" spans="29:30" ht="15.75">
      <c r="AC219" s="656"/>
      <c r="AD219" s="656"/>
    </row>
    <row r="220" spans="29:30" ht="15.75">
      <c r="AC220" s="656"/>
      <c r="AD220" s="656"/>
    </row>
    <row r="221" spans="29:30" ht="15.75">
      <c r="AC221" s="656"/>
      <c r="AD221" s="656"/>
    </row>
    <row r="222" spans="29:30" ht="15.75">
      <c r="AC222" s="656"/>
      <c r="AD222" s="656"/>
    </row>
    <row r="223" spans="29:30" ht="15.75">
      <c r="AC223" s="656"/>
      <c r="AD223" s="656"/>
    </row>
    <row r="224" spans="29:30" ht="15.75">
      <c r="AC224" s="656"/>
      <c r="AD224" s="656"/>
    </row>
  </sheetData>
  <sheetProtection/>
  <autoFilter ref="A8:BN8"/>
  <mergeCells count="39">
    <mergeCell ref="BM6:BM8"/>
    <mergeCell ref="BN6:BN8"/>
    <mergeCell ref="BA6:BA8"/>
    <mergeCell ref="BB6:BB8"/>
    <mergeCell ref="BD6:BF7"/>
    <mergeCell ref="BG6:BG8"/>
    <mergeCell ref="BH6:BH8"/>
    <mergeCell ref="BI6:BI8"/>
    <mergeCell ref="BJ6:BJ8"/>
    <mergeCell ref="BK6:BK8"/>
    <mergeCell ref="AV3:AY5"/>
    <mergeCell ref="BL6:BL8"/>
    <mergeCell ref="BH3:BN5"/>
    <mergeCell ref="E5:E6"/>
    <mergeCell ref="K5:M6"/>
    <mergeCell ref="N5:P5"/>
    <mergeCell ref="Q5:S6"/>
    <mergeCell ref="T5:V6"/>
    <mergeCell ref="W5:Y6"/>
    <mergeCell ref="Z5:AB6"/>
    <mergeCell ref="A1:AD1"/>
    <mergeCell ref="A3:A7"/>
    <mergeCell ref="D3:D4"/>
    <mergeCell ref="F3:F7"/>
    <mergeCell ref="G3:G6"/>
    <mergeCell ref="H3:J6"/>
    <mergeCell ref="AC3:AD6"/>
    <mergeCell ref="D6:D7"/>
    <mergeCell ref="N6:P6"/>
    <mergeCell ref="AO6:AP6"/>
    <mergeCell ref="AE3:AE7"/>
    <mergeCell ref="BD3:BG5"/>
    <mergeCell ref="AQ6:AR6"/>
    <mergeCell ref="AS6:AU6"/>
    <mergeCell ref="AV6:AY6"/>
    <mergeCell ref="AZ6:AZ8"/>
    <mergeCell ref="AF3:AF5"/>
    <mergeCell ref="AG3:AN5"/>
    <mergeCell ref="AO3:AU5"/>
  </mergeCells>
  <printOptions horizontalCentered="1"/>
  <pageMargins left="0.2362204724409449" right="0.2362204724409449" top="0.15748031496062992" bottom="0.1968503937007874" header="0.4724409448818898" footer="0.3937007874015748"/>
  <pageSetup fitToWidth="21" fitToHeight="1" horizontalDpi="600" verticalDpi="600" orientation="landscape" paperSize="8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X99"/>
  <sheetViews>
    <sheetView view="pageBreakPreview" zoomScale="70" zoomScaleNormal="90" zoomScaleSheetLayoutView="70" zoomScalePageLayoutView="0" workbookViewId="0" topLeftCell="A4">
      <pane xSplit="2" ySplit="6" topLeftCell="CC16" activePane="bottomRight" state="frozen"/>
      <selection pane="topLeft" activeCell="N34" sqref="N34"/>
      <selection pane="topRight" activeCell="N34" sqref="N34"/>
      <selection pane="bottomLeft" activeCell="N34" sqref="N34"/>
      <selection pane="bottomRight" activeCell="N34" sqref="N34"/>
    </sheetView>
  </sheetViews>
  <sheetFormatPr defaultColWidth="9.00390625" defaultRowHeight="12.75"/>
  <cols>
    <col min="1" max="1" width="8.625" style="138" bestFit="1" customWidth="1"/>
    <col min="2" max="2" width="20.125" style="3" customWidth="1"/>
    <col min="3" max="3" width="13.00390625" style="3" customWidth="1"/>
    <col min="4" max="4" width="9.375" style="3" customWidth="1"/>
    <col min="5" max="5" width="12.25390625" style="3" customWidth="1"/>
    <col min="6" max="6" width="9.25390625" style="3" customWidth="1"/>
    <col min="7" max="7" width="18.75390625" style="3" hidden="1" customWidth="1"/>
    <col min="8" max="8" width="15.125" style="3" hidden="1" customWidth="1"/>
    <col min="9" max="9" width="16.875" style="3" customWidth="1"/>
    <col min="10" max="10" width="7.625" style="3" customWidth="1"/>
    <col min="11" max="11" width="0.12890625" style="3" customWidth="1"/>
    <col min="12" max="12" width="15.125" style="3" hidden="1" customWidth="1"/>
    <col min="13" max="13" width="12.75390625" style="3" customWidth="1"/>
    <col min="14" max="14" width="9.75390625" style="3" customWidth="1"/>
    <col min="15" max="15" width="16.00390625" style="3" hidden="1" customWidth="1"/>
    <col min="16" max="16" width="17.75390625" style="3" hidden="1" customWidth="1"/>
    <col min="17" max="17" width="12.625" style="3" customWidth="1"/>
    <col min="18" max="18" width="9.00390625" style="3" customWidth="1"/>
    <col min="19" max="19" width="21.00390625" style="3" hidden="1" customWidth="1"/>
    <col min="20" max="20" width="19.375" style="3" hidden="1" customWidth="1"/>
    <col min="21" max="21" width="13.25390625" style="3" customWidth="1"/>
    <col min="22" max="22" width="9.25390625" style="3" customWidth="1"/>
    <col min="23" max="23" width="23.375" style="3" hidden="1" customWidth="1"/>
    <col min="24" max="24" width="21.25390625" style="3" hidden="1" customWidth="1"/>
    <col min="25" max="25" width="12.25390625" style="3" customWidth="1"/>
    <col min="26" max="26" width="12.125" style="3" customWidth="1"/>
    <col min="27" max="27" width="14.625" style="3" hidden="1" customWidth="1"/>
    <col min="28" max="28" width="16.375" style="3" hidden="1" customWidth="1"/>
    <col min="29" max="29" width="15.00390625" style="3" customWidth="1"/>
    <col min="30" max="30" width="14.25390625" style="3" customWidth="1"/>
    <col min="31" max="31" width="18.75390625" style="3" hidden="1" customWidth="1"/>
    <col min="32" max="32" width="15.25390625" style="3" hidden="1" customWidth="1"/>
    <col min="33" max="33" width="15.625" style="3" hidden="1" customWidth="1"/>
    <col min="34" max="34" width="12.375" style="3" customWidth="1"/>
    <col min="35" max="35" width="11.25390625" style="3" customWidth="1"/>
    <col min="36" max="36" width="0.12890625" style="3" customWidth="1"/>
    <col min="37" max="37" width="21.25390625" style="3" hidden="1" customWidth="1"/>
    <col min="38" max="38" width="14.25390625" style="3" customWidth="1"/>
    <col min="39" max="39" width="10.625" style="3" customWidth="1"/>
    <col min="40" max="40" width="19.375" style="3" hidden="1" customWidth="1"/>
    <col min="41" max="41" width="21.125" style="3" hidden="1" customWidth="1"/>
    <col min="42" max="42" width="12.00390625" style="3" customWidth="1"/>
    <col min="43" max="43" width="10.875" style="3" customWidth="1"/>
    <col min="44" max="44" width="11.625" style="3" customWidth="1"/>
    <col min="45" max="45" width="12.375" style="3" customWidth="1"/>
    <col min="46" max="46" width="13.125" style="3" customWidth="1"/>
    <col min="47" max="47" width="9.375" style="3" customWidth="1"/>
    <col min="48" max="48" width="13.625" style="3" customWidth="1"/>
    <col min="49" max="49" width="9.125" style="3" customWidth="1"/>
    <col min="50" max="50" width="9.875" style="3" hidden="1" customWidth="1"/>
    <col min="51" max="51" width="19.25390625" style="3" customWidth="1"/>
    <col min="52" max="52" width="20.125" style="3" customWidth="1"/>
    <col min="53" max="53" width="12.75390625" style="3" customWidth="1"/>
    <col min="54" max="54" width="12.375" style="3" customWidth="1"/>
    <col min="55" max="55" width="15.75390625" style="3" customWidth="1"/>
    <col min="56" max="56" width="12.875" style="3" customWidth="1"/>
    <col min="57" max="57" width="13.00390625" style="3" customWidth="1"/>
    <col min="58" max="58" width="9.875" style="3" customWidth="1"/>
    <col min="59" max="59" width="9.875" style="3" hidden="1" customWidth="1"/>
    <col min="60" max="60" width="8.125" style="3" customWidth="1"/>
    <col min="61" max="61" width="9.875" style="3" customWidth="1"/>
    <col min="62" max="62" width="16.875" style="3" customWidth="1"/>
    <col min="63" max="63" width="17.125" style="3" customWidth="1"/>
    <col min="64" max="64" width="18.625" style="3" customWidth="1"/>
    <col min="65" max="65" width="17.625" style="3" customWidth="1"/>
    <col min="66" max="66" width="13.625" style="3" hidden="1" customWidth="1"/>
    <col min="67" max="67" width="18.125" style="3" hidden="1" customWidth="1"/>
    <col min="68" max="68" width="12.00390625" style="3" hidden="1" customWidth="1"/>
    <col min="69" max="69" width="15.00390625" style="3" customWidth="1"/>
    <col min="70" max="70" width="12.75390625" style="3" customWidth="1"/>
    <col min="71" max="71" width="20.625" style="3" customWidth="1"/>
    <col min="72" max="72" width="12.125" style="3" customWidth="1"/>
    <col min="73" max="73" width="9.375" style="3" customWidth="1"/>
    <col min="74" max="74" width="19.25390625" style="3" customWidth="1"/>
    <col min="75" max="75" width="18.375" style="3" customWidth="1"/>
    <col min="76" max="76" width="13.75390625" style="3" customWidth="1"/>
    <col min="77" max="77" width="9.375" style="3" customWidth="1"/>
    <col min="78" max="78" width="19.00390625" style="3" customWidth="1"/>
    <col min="79" max="79" width="18.875" style="3" customWidth="1"/>
    <col min="80" max="80" width="15.25390625" style="3" customWidth="1"/>
    <col min="81" max="81" width="9.375" style="3" customWidth="1"/>
    <col min="82" max="82" width="15.875" style="3" customWidth="1"/>
    <col min="83" max="83" width="11.25390625" style="3" customWidth="1"/>
    <col min="84" max="84" width="13.75390625" style="3" customWidth="1"/>
    <col min="85" max="85" width="9.375" style="3" customWidth="1"/>
    <col min="86" max="86" width="13.75390625" style="3" customWidth="1"/>
    <col min="87" max="87" width="9.375" style="3" customWidth="1"/>
    <col min="88" max="88" width="14.25390625" style="3" customWidth="1"/>
    <col min="89" max="89" width="15.375" style="3" customWidth="1"/>
    <col min="90" max="90" width="17.875" style="3" customWidth="1"/>
    <col min="91" max="91" width="13.625" style="3" customWidth="1"/>
    <col min="92" max="92" width="10.25390625" style="3" customWidth="1"/>
    <col min="93" max="93" width="7.875" style="3" customWidth="1"/>
    <col min="94" max="94" width="13.00390625" style="3" customWidth="1"/>
    <col min="95" max="95" width="11.375" style="3" customWidth="1"/>
    <col min="96" max="96" width="0.12890625" style="3" customWidth="1"/>
    <col min="97" max="97" width="21.75390625" style="3" customWidth="1"/>
    <col min="98" max="98" width="16.375" style="3" customWidth="1"/>
    <col min="99" max="99" width="16.625" style="3" customWidth="1"/>
    <col min="100" max="100" width="19.375" style="3" customWidth="1"/>
    <col min="101" max="101" width="14.25390625" style="3" customWidth="1"/>
    <col min="102" max="102" width="15.125" style="3" customWidth="1"/>
    <col min="103" max="103" width="15.25390625" style="3" customWidth="1"/>
    <col min="104" max="104" width="17.00390625" style="3" customWidth="1"/>
    <col min="105" max="105" width="11.75390625" style="3" customWidth="1"/>
    <col min="106" max="106" width="19.625" style="3" customWidth="1"/>
    <col min="107" max="107" width="15.625" style="3" customWidth="1"/>
    <col min="108" max="108" width="14.375" style="3" hidden="1" customWidth="1"/>
    <col min="109" max="109" width="10.00390625" style="3" hidden="1" customWidth="1"/>
    <col min="110" max="110" width="13.75390625" style="3" hidden="1" customWidth="1"/>
    <col min="111" max="111" width="10.25390625" style="3" hidden="1" customWidth="1"/>
    <col min="112" max="112" width="14.00390625" style="3" hidden="1" customWidth="1"/>
    <col min="113" max="113" width="15.875" style="3" hidden="1" customWidth="1"/>
    <col min="114" max="114" width="9.625" style="3" hidden="1" customWidth="1"/>
    <col min="115" max="115" width="11.625" style="3" hidden="1" customWidth="1"/>
    <col min="116" max="116" width="13.75390625" style="3" hidden="1" customWidth="1"/>
    <col min="117" max="117" width="9.375" style="3" hidden="1" customWidth="1"/>
    <col min="118" max="118" width="12.875" style="3" customWidth="1"/>
    <col min="119" max="119" width="9.375" style="3" bestFit="1" customWidth="1"/>
    <col min="120" max="120" width="15.875" style="3" customWidth="1"/>
    <col min="121" max="121" width="11.75390625" style="3" customWidth="1"/>
    <col min="122" max="122" width="14.75390625" style="3" customWidth="1"/>
    <col min="123" max="123" width="11.25390625" style="3" customWidth="1"/>
    <col min="124" max="124" width="15.625" style="3" customWidth="1"/>
    <col min="125" max="125" width="12.375" style="3" customWidth="1"/>
    <col min="126" max="126" width="0.12890625" style="3" customWidth="1"/>
    <col min="127" max="127" width="12.125" style="3" customWidth="1"/>
    <col min="128" max="128" width="12.375" style="3" customWidth="1"/>
    <col min="129" max="129" width="7.75390625" style="3" hidden="1" customWidth="1"/>
    <col min="130" max="130" width="12.875" style="3" customWidth="1"/>
    <col min="131" max="131" width="9.375" style="3" customWidth="1"/>
    <col min="132" max="132" width="0.12890625" style="3" hidden="1" customWidth="1"/>
    <col min="133" max="133" width="12.875" style="3" customWidth="1"/>
    <col min="134" max="134" width="9.375" style="3" customWidth="1"/>
    <col min="135" max="135" width="11.00390625" style="3" hidden="1" customWidth="1"/>
    <col min="136" max="136" width="12.625" style="3" customWidth="1"/>
    <col min="137" max="137" width="9.75390625" style="3" customWidth="1"/>
    <col min="138" max="138" width="9.375" style="3" hidden="1" customWidth="1"/>
    <col min="139" max="139" width="12.875" style="3" customWidth="1"/>
    <col min="140" max="140" width="12.625" style="3" customWidth="1"/>
    <col min="141" max="141" width="8.00390625" style="3" hidden="1" customWidth="1"/>
    <col min="142" max="142" width="7.75390625" style="3" hidden="1" customWidth="1"/>
    <col min="143" max="143" width="7.00390625" style="3" hidden="1" customWidth="1"/>
    <col min="144" max="144" width="0.37109375" style="3" customWidth="1"/>
    <col min="145" max="145" width="11.75390625" style="3" hidden="1" customWidth="1"/>
    <col min="146" max="146" width="22.25390625" style="3" customWidth="1"/>
    <col min="147" max="147" width="17.875" style="3" customWidth="1"/>
    <col min="148" max="148" width="11.375" style="3" customWidth="1"/>
    <col min="149" max="149" width="14.25390625" style="3" customWidth="1"/>
    <col min="150" max="150" width="16.125" style="3" bestFit="1" customWidth="1"/>
    <col min="151" max="151" width="0.875" style="3" customWidth="1"/>
    <col min="152" max="154" width="9.125" style="3" hidden="1" customWidth="1"/>
    <col min="155" max="16384" width="9.125" style="3" customWidth="1"/>
  </cols>
  <sheetData>
    <row r="2" spans="2:145" s="1" customFormat="1" ht="20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</row>
    <row r="3" spans="1:145" ht="19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</row>
    <row r="4" spans="1:149" ht="15.75" customHeight="1">
      <c r="A4" s="879" t="s">
        <v>1</v>
      </c>
      <c r="B4" s="880" t="s">
        <v>2</v>
      </c>
      <c r="C4" s="852" t="s">
        <v>3</v>
      </c>
      <c r="D4" s="861"/>
      <c r="E4" s="852" t="s">
        <v>4</v>
      </c>
      <c r="F4" s="865"/>
      <c r="G4" s="793" t="s">
        <v>5</v>
      </c>
      <c r="H4" s="849"/>
      <c r="I4" s="849"/>
      <c r="J4" s="776"/>
      <c r="K4" s="852" t="s">
        <v>6</v>
      </c>
      <c r="L4" s="849"/>
      <c r="M4" s="849"/>
      <c r="N4" s="861"/>
      <c r="O4" s="852" t="s">
        <v>7</v>
      </c>
      <c r="P4" s="849"/>
      <c r="Q4" s="849"/>
      <c r="R4" s="861"/>
      <c r="S4" s="852" t="s">
        <v>8</v>
      </c>
      <c r="T4" s="849"/>
      <c r="U4" s="849"/>
      <c r="V4" s="861"/>
      <c r="W4" s="852" t="s">
        <v>9</v>
      </c>
      <c r="X4" s="849"/>
      <c r="Y4" s="849"/>
      <c r="Z4" s="861"/>
      <c r="AA4" s="852" t="s">
        <v>171</v>
      </c>
      <c r="AB4" s="849"/>
      <c r="AC4" s="849"/>
      <c r="AD4" s="861"/>
      <c r="AE4" s="852" t="s">
        <v>10</v>
      </c>
      <c r="AF4" s="849"/>
      <c r="AG4" s="849"/>
      <c r="AH4" s="849"/>
      <c r="AI4" s="861"/>
      <c r="AJ4" s="852" t="s">
        <v>11</v>
      </c>
      <c r="AK4" s="849"/>
      <c r="AL4" s="849"/>
      <c r="AM4" s="776"/>
      <c r="AN4" s="849" t="s">
        <v>12</v>
      </c>
      <c r="AO4" s="849"/>
      <c r="AP4" s="849"/>
      <c r="AQ4" s="849"/>
      <c r="AR4" s="7"/>
      <c r="AS4" s="7"/>
      <c r="AT4" s="849" t="s">
        <v>13</v>
      </c>
      <c r="AU4" s="849"/>
      <c r="AV4" s="849"/>
      <c r="AW4" s="849"/>
      <c r="AX4" s="849" t="s">
        <v>14</v>
      </c>
      <c r="AY4" s="849"/>
      <c r="AZ4" s="849"/>
      <c r="BA4" s="849"/>
      <c r="BB4" s="849"/>
      <c r="BC4" s="849" t="s">
        <v>15</v>
      </c>
      <c r="BD4" s="849"/>
      <c r="BE4" s="849"/>
      <c r="BF4" s="849"/>
      <c r="BG4" s="6"/>
      <c r="BH4" s="7"/>
      <c r="BI4" s="7"/>
      <c r="BJ4" s="849" t="s">
        <v>16</v>
      </c>
      <c r="BK4" s="849"/>
      <c r="BL4" s="849"/>
      <c r="BM4" s="849"/>
      <c r="BN4" s="849" t="s">
        <v>17</v>
      </c>
      <c r="BO4" s="849"/>
      <c r="BP4" s="849"/>
      <c r="BQ4" s="849"/>
      <c r="BR4" s="849"/>
      <c r="BS4" s="886" t="s">
        <v>18</v>
      </c>
      <c r="BT4" s="886"/>
      <c r="BU4" s="886"/>
      <c r="BV4" s="849" t="s">
        <v>19</v>
      </c>
      <c r="BW4" s="776"/>
      <c r="BX4" s="852" t="s">
        <v>20</v>
      </c>
      <c r="BY4" s="849"/>
      <c r="BZ4" s="849"/>
      <c r="CA4" s="849"/>
      <c r="CB4" s="849"/>
      <c r="CC4" s="849"/>
      <c r="CD4" s="849"/>
      <c r="CE4" s="849"/>
      <c r="CF4" s="849"/>
      <c r="CG4" s="849"/>
      <c r="CH4" s="849"/>
      <c r="CI4" s="849"/>
      <c r="CJ4" s="849"/>
      <c r="CK4" s="849"/>
      <c r="CL4" s="849"/>
      <c r="CM4" s="861"/>
      <c r="CN4" s="793" t="s">
        <v>21</v>
      </c>
      <c r="CO4" s="849"/>
      <c r="CP4" s="849"/>
      <c r="CQ4" s="849"/>
      <c r="CR4" s="849"/>
      <c r="CS4" s="849"/>
      <c r="CT4" s="849"/>
      <c r="CU4" s="849"/>
      <c r="CV4" s="849"/>
      <c r="CW4" s="849"/>
      <c r="CX4" s="849"/>
      <c r="CY4" s="849"/>
      <c r="CZ4" s="849"/>
      <c r="DA4" s="849"/>
      <c r="DB4" s="849"/>
      <c r="DC4" s="776"/>
      <c r="DD4" s="852" t="s">
        <v>22</v>
      </c>
      <c r="DE4" s="849"/>
      <c r="DF4" s="849"/>
      <c r="DG4" s="849"/>
      <c r="DH4" s="849"/>
      <c r="DI4" s="849"/>
      <c r="DJ4" s="849"/>
      <c r="DK4" s="849"/>
      <c r="DL4" s="849"/>
      <c r="DM4" s="849"/>
      <c r="DN4" s="849"/>
      <c r="DO4" s="861"/>
      <c r="DP4" s="852" t="s">
        <v>23</v>
      </c>
      <c r="DQ4" s="861"/>
      <c r="DR4" s="852" t="s">
        <v>24</v>
      </c>
      <c r="DS4" s="861"/>
      <c r="DT4" s="793" t="s">
        <v>25</v>
      </c>
      <c r="DU4" s="776"/>
      <c r="DV4" s="849" t="s">
        <v>26</v>
      </c>
      <c r="DW4" s="849"/>
      <c r="DX4" s="861"/>
      <c r="DY4" s="852" t="s">
        <v>27</v>
      </c>
      <c r="DZ4" s="849"/>
      <c r="EA4" s="861"/>
      <c r="EB4" s="793" t="s">
        <v>28</v>
      </c>
      <c r="EC4" s="849"/>
      <c r="ED4" s="849"/>
      <c r="EE4" s="849" t="s">
        <v>29</v>
      </c>
      <c r="EF4" s="849"/>
      <c r="EG4" s="849"/>
      <c r="EH4" s="849" t="s">
        <v>30</v>
      </c>
      <c r="EI4" s="849"/>
      <c r="EJ4" s="776"/>
      <c r="EK4" s="852" t="s">
        <v>31</v>
      </c>
      <c r="EL4" s="849"/>
      <c r="EM4" s="861"/>
      <c r="EN4" s="787" t="s">
        <v>160</v>
      </c>
      <c r="EO4" s="788"/>
      <c r="EP4" s="852" t="s">
        <v>32</v>
      </c>
      <c r="EQ4" s="849"/>
      <c r="ER4" s="849"/>
      <c r="ES4" s="861"/>
    </row>
    <row r="5" spans="1:149" s="11" customFormat="1" ht="15.75">
      <c r="A5" s="866"/>
      <c r="B5" s="881"/>
      <c r="C5" s="862"/>
      <c r="D5" s="863"/>
      <c r="E5" s="866"/>
      <c r="F5" s="867"/>
      <c r="G5" s="769"/>
      <c r="H5" s="850"/>
      <c r="I5" s="850"/>
      <c r="J5" s="770"/>
      <c r="K5" s="862"/>
      <c r="L5" s="850"/>
      <c r="M5" s="850"/>
      <c r="N5" s="863"/>
      <c r="O5" s="862"/>
      <c r="P5" s="850"/>
      <c r="Q5" s="850"/>
      <c r="R5" s="863"/>
      <c r="S5" s="862"/>
      <c r="T5" s="850"/>
      <c r="U5" s="850"/>
      <c r="V5" s="863"/>
      <c r="W5" s="862"/>
      <c r="X5" s="850"/>
      <c r="Y5" s="850"/>
      <c r="Z5" s="863"/>
      <c r="AA5" s="862"/>
      <c r="AB5" s="850"/>
      <c r="AC5" s="850"/>
      <c r="AD5" s="863"/>
      <c r="AE5" s="862"/>
      <c r="AF5" s="850"/>
      <c r="AG5" s="850"/>
      <c r="AH5" s="850"/>
      <c r="AI5" s="863"/>
      <c r="AJ5" s="862"/>
      <c r="AK5" s="850"/>
      <c r="AL5" s="850"/>
      <c r="AM5" s="770"/>
      <c r="AN5" s="850"/>
      <c r="AO5" s="850"/>
      <c r="AP5" s="850"/>
      <c r="AQ5" s="850"/>
      <c r="AR5" s="10"/>
      <c r="AS5" s="10"/>
      <c r="AT5" s="850"/>
      <c r="AU5" s="850"/>
      <c r="AV5" s="850"/>
      <c r="AW5" s="850"/>
      <c r="AX5" s="850"/>
      <c r="AY5" s="850"/>
      <c r="AZ5" s="850"/>
      <c r="BA5" s="850"/>
      <c r="BB5" s="850"/>
      <c r="BC5" s="850"/>
      <c r="BD5" s="850"/>
      <c r="BE5" s="850"/>
      <c r="BF5" s="850"/>
      <c r="BG5" s="9"/>
      <c r="BH5" s="10"/>
      <c r="BI5" s="10"/>
      <c r="BJ5" s="850"/>
      <c r="BK5" s="850"/>
      <c r="BL5" s="850"/>
      <c r="BM5" s="850"/>
      <c r="BN5" s="850"/>
      <c r="BO5" s="850"/>
      <c r="BP5" s="850"/>
      <c r="BQ5" s="850"/>
      <c r="BR5" s="850"/>
      <c r="BS5" s="887"/>
      <c r="BT5" s="887"/>
      <c r="BU5" s="887"/>
      <c r="BV5" s="850"/>
      <c r="BW5" s="770"/>
      <c r="BX5" s="862"/>
      <c r="BY5" s="850"/>
      <c r="BZ5" s="850"/>
      <c r="CA5" s="850"/>
      <c r="CB5" s="850"/>
      <c r="CC5" s="850"/>
      <c r="CD5" s="850"/>
      <c r="CE5" s="850"/>
      <c r="CF5" s="850"/>
      <c r="CG5" s="850"/>
      <c r="CH5" s="850"/>
      <c r="CI5" s="850"/>
      <c r="CJ5" s="850"/>
      <c r="CK5" s="850"/>
      <c r="CL5" s="850"/>
      <c r="CM5" s="863"/>
      <c r="CN5" s="769"/>
      <c r="CO5" s="850"/>
      <c r="CP5" s="850"/>
      <c r="CQ5" s="850"/>
      <c r="CR5" s="850"/>
      <c r="CS5" s="850"/>
      <c r="CT5" s="850"/>
      <c r="CU5" s="850"/>
      <c r="CV5" s="850"/>
      <c r="CW5" s="850"/>
      <c r="CX5" s="850"/>
      <c r="CY5" s="850"/>
      <c r="CZ5" s="850"/>
      <c r="DA5" s="850"/>
      <c r="DB5" s="850"/>
      <c r="DC5" s="770"/>
      <c r="DD5" s="862"/>
      <c r="DE5" s="850"/>
      <c r="DF5" s="850"/>
      <c r="DG5" s="850"/>
      <c r="DH5" s="850"/>
      <c r="DI5" s="850"/>
      <c r="DJ5" s="850"/>
      <c r="DK5" s="850"/>
      <c r="DL5" s="850"/>
      <c r="DM5" s="850"/>
      <c r="DN5" s="850"/>
      <c r="DO5" s="863"/>
      <c r="DP5" s="862"/>
      <c r="DQ5" s="863"/>
      <c r="DR5" s="862"/>
      <c r="DS5" s="863"/>
      <c r="DT5" s="769"/>
      <c r="DU5" s="770"/>
      <c r="DV5" s="850"/>
      <c r="DW5" s="850"/>
      <c r="DX5" s="863"/>
      <c r="DY5" s="862"/>
      <c r="DZ5" s="850"/>
      <c r="EA5" s="863"/>
      <c r="EB5" s="769"/>
      <c r="EC5" s="850"/>
      <c r="ED5" s="850"/>
      <c r="EE5" s="850"/>
      <c r="EF5" s="850"/>
      <c r="EG5" s="850"/>
      <c r="EH5" s="850"/>
      <c r="EI5" s="850"/>
      <c r="EJ5" s="770"/>
      <c r="EK5" s="862"/>
      <c r="EL5" s="850"/>
      <c r="EM5" s="863"/>
      <c r="EN5" s="789"/>
      <c r="EO5" s="790"/>
      <c r="EP5" s="862"/>
      <c r="EQ5" s="850"/>
      <c r="ER5" s="850"/>
      <c r="ES5" s="863"/>
    </row>
    <row r="6" spans="1:149" s="16" customFormat="1" ht="153" customHeight="1" thickBot="1">
      <c r="A6" s="866"/>
      <c r="B6" s="881"/>
      <c r="C6" s="853"/>
      <c r="D6" s="864"/>
      <c r="E6" s="868"/>
      <c r="F6" s="869"/>
      <c r="G6" s="771"/>
      <c r="H6" s="851"/>
      <c r="I6" s="851"/>
      <c r="J6" s="772"/>
      <c r="K6" s="853"/>
      <c r="L6" s="851"/>
      <c r="M6" s="851"/>
      <c r="N6" s="864"/>
      <c r="O6" s="853"/>
      <c r="P6" s="851"/>
      <c r="Q6" s="851"/>
      <c r="R6" s="864"/>
      <c r="S6" s="853"/>
      <c r="T6" s="851"/>
      <c r="U6" s="851"/>
      <c r="V6" s="864"/>
      <c r="W6" s="853"/>
      <c r="X6" s="851"/>
      <c r="Y6" s="851"/>
      <c r="Z6" s="864"/>
      <c r="AA6" s="853"/>
      <c r="AB6" s="851"/>
      <c r="AC6" s="851"/>
      <c r="AD6" s="864"/>
      <c r="AE6" s="853"/>
      <c r="AF6" s="851"/>
      <c r="AG6" s="851"/>
      <c r="AH6" s="851"/>
      <c r="AI6" s="864"/>
      <c r="AJ6" s="853"/>
      <c r="AK6" s="851"/>
      <c r="AL6" s="851"/>
      <c r="AM6" s="772"/>
      <c r="AN6" s="851"/>
      <c r="AO6" s="851"/>
      <c r="AP6" s="851"/>
      <c r="AQ6" s="851"/>
      <c r="AR6" s="15"/>
      <c r="AS6" s="15"/>
      <c r="AT6" s="851"/>
      <c r="AU6" s="851"/>
      <c r="AV6" s="851"/>
      <c r="AW6" s="851"/>
      <c r="AX6" s="851"/>
      <c r="AY6" s="851"/>
      <c r="AZ6" s="851"/>
      <c r="BA6" s="851"/>
      <c r="BB6" s="851"/>
      <c r="BC6" s="851"/>
      <c r="BD6" s="851"/>
      <c r="BE6" s="851"/>
      <c r="BF6" s="851"/>
      <c r="BG6" s="14"/>
      <c r="BH6" s="15"/>
      <c r="BI6" s="15"/>
      <c r="BJ6" s="851"/>
      <c r="BK6" s="851"/>
      <c r="BL6" s="851"/>
      <c r="BM6" s="851"/>
      <c r="BN6" s="851"/>
      <c r="BO6" s="851"/>
      <c r="BP6" s="851"/>
      <c r="BQ6" s="851"/>
      <c r="BR6" s="851"/>
      <c r="BS6" s="888"/>
      <c r="BT6" s="888"/>
      <c r="BU6" s="888"/>
      <c r="BV6" s="851"/>
      <c r="BW6" s="772"/>
      <c r="BX6" s="853"/>
      <c r="BY6" s="851"/>
      <c r="BZ6" s="851"/>
      <c r="CA6" s="851"/>
      <c r="CB6" s="851"/>
      <c r="CC6" s="851"/>
      <c r="CD6" s="851"/>
      <c r="CE6" s="851"/>
      <c r="CF6" s="851"/>
      <c r="CG6" s="851"/>
      <c r="CH6" s="851"/>
      <c r="CI6" s="851"/>
      <c r="CJ6" s="851"/>
      <c r="CK6" s="851"/>
      <c r="CL6" s="851"/>
      <c r="CM6" s="864"/>
      <c r="CN6" s="771"/>
      <c r="CO6" s="851"/>
      <c r="CP6" s="851"/>
      <c r="CQ6" s="851"/>
      <c r="CR6" s="851"/>
      <c r="CS6" s="851"/>
      <c r="CT6" s="851"/>
      <c r="CU6" s="851"/>
      <c r="CV6" s="851"/>
      <c r="CW6" s="851"/>
      <c r="CX6" s="851"/>
      <c r="CY6" s="851"/>
      <c r="CZ6" s="851"/>
      <c r="DA6" s="851"/>
      <c r="DB6" s="851"/>
      <c r="DC6" s="772"/>
      <c r="DD6" s="853"/>
      <c r="DE6" s="851"/>
      <c r="DF6" s="851"/>
      <c r="DG6" s="851"/>
      <c r="DH6" s="851"/>
      <c r="DI6" s="851"/>
      <c r="DJ6" s="851"/>
      <c r="DK6" s="851"/>
      <c r="DL6" s="851"/>
      <c r="DM6" s="851"/>
      <c r="DN6" s="851"/>
      <c r="DO6" s="864"/>
      <c r="DP6" s="853"/>
      <c r="DQ6" s="864"/>
      <c r="DR6" s="853"/>
      <c r="DS6" s="864"/>
      <c r="DT6" s="771"/>
      <c r="DU6" s="772"/>
      <c r="DV6" s="851"/>
      <c r="DW6" s="851"/>
      <c r="DX6" s="864"/>
      <c r="DY6" s="853"/>
      <c r="DZ6" s="851"/>
      <c r="EA6" s="864"/>
      <c r="EB6" s="771"/>
      <c r="EC6" s="851"/>
      <c r="ED6" s="851"/>
      <c r="EE6" s="851"/>
      <c r="EF6" s="851"/>
      <c r="EG6" s="851"/>
      <c r="EH6" s="851"/>
      <c r="EI6" s="851"/>
      <c r="EJ6" s="772"/>
      <c r="EK6" s="853"/>
      <c r="EL6" s="851"/>
      <c r="EM6" s="864"/>
      <c r="EN6" s="777"/>
      <c r="EO6" s="778"/>
      <c r="EP6" s="862"/>
      <c r="EQ6" s="850"/>
      <c r="ER6" s="850"/>
      <c r="ES6" s="863"/>
    </row>
    <row r="7" spans="1:149" s="16" customFormat="1" ht="16.5" thickBot="1">
      <c r="A7" s="866"/>
      <c r="B7" s="881"/>
      <c r="C7" s="933" t="s">
        <v>33</v>
      </c>
      <c r="D7" s="935"/>
      <c r="E7" s="933" t="s">
        <v>34</v>
      </c>
      <c r="F7" s="935"/>
      <c r="G7" s="936" t="s">
        <v>35</v>
      </c>
      <c r="H7" s="934"/>
      <c r="I7" s="934"/>
      <c r="J7" s="937"/>
      <c r="K7" s="933" t="s">
        <v>36</v>
      </c>
      <c r="L7" s="934"/>
      <c r="M7" s="934"/>
      <c r="N7" s="935"/>
      <c r="O7" s="933" t="s">
        <v>37</v>
      </c>
      <c r="P7" s="934"/>
      <c r="Q7" s="934"/>
      <c r="R7" s="935"/>
      <c r="S7" s="933" t="s">
        <v>38</v>
      </c>
      <c r="T7" s="934"/>
      <c r="U7" s="934"/>
      <c r="V7" s="935"/>
      <c r="W7" s="933" t="s">
        <v>39</v>
      </c>
      <c r="X7" s="934"/>
      <c r="Y7" s="934"/>
      <c r="Z7" s="935"/>
      <c r="AA7" s="933" t="s">
        <v>40</v>
      </c>
      <c r="AB7" s="934"/>
      <c r="AC7" s="934"/>
      <c r="AD7" s="935"/>
      <c r="AE7" s="933" t="s">
        <v>41</v>
      </c>
      <c r="AF7" s="934"/>
      <c r="AG7" s="934"/>
      <c r="AH7" s="934"/>
      <c r="AI7" s="935"/>
      <c r="AJ7" s="933" t="s">
        <v>42</v>
      </c>
      <c r="AK7" s="934"/>
      <c r="AL7" s="934"/>
      <c r="AM7" s="937"/>
      <c r="AN7" s="934" t="s">
        <v>43</v>
      </c>
      <c r="AO7" s="934"/>
      <c r="AP7" s="934"/>
      <c r="AQ7" s="934"/>
      <c r="AR7" s="376"/>
      <c r="AS7" s="376"/>
      <c r="AT7" s="934" t="s">
        <v>44</v>
      </c>
      <c r="AU7" s="934"/>
      <c r="AV7" s="934"/>
      <c r="AW7" s="934"/>
      <c r="AX7" s="934" t="s">
        <v>45</v>
      </c>
      <c r="AY7" s="934"/>
      <c r="AZ7" s="934"/>
      <c r="BA7" s="934"/>
      <c r="BB7" s="934"/>
      <c r="BC7" s="934" t="s">
        <v>46</v>
      </c>
      <c r="BD7" s="934"/>
      <c r="BE7" s="934"/>
      <c r="BF7" s="934"/>
      <c r="BG7" s="375"/>
      <c r="BH7" s="376"/>
      <c r="BI7" s="376"/>
      <c r="BJ7" s="934" t="s">
        <v>47</v>
      </c>
      <c r="BK7" s="934"/>
      <c r="BL7" s="934"/>
      <c r="BM7" s="934"/>
      <c r="BN7" s="934" t="s">
        <v>48</v>
      </c>
      <c r="BO7" s="934"/>
      <c r="BP7" s="934"/>
      <c r="BQ7" s="934"/>
      <c r="BR7" s="934"/>
      <c r="BS7" s="934" t="s">
        <v>49</v>
      </c>
      <c r="BT7" s="934"/>
      <c r="BU7" s="934"/>
      <c r="BV7" s="934" t="s">
        <v>50</v>
      </c>
      <c r="BW7" s="937"/>
      <c r="BX7" s="933" t="s">
        <v>51</v>
      </c>
      <c r="BY7" s="934"/>
      <c r="BZ7" s="934"/>
      <c r="CA7" s="934"/>
      <c r="CB7" s="934"/>
      <c r="CC7" s="934"/>
      <c r="CD7" s="934"/>
      <c r="CE7" s="934"/>
      <c r="CF7" s="934"/>
      <c r="CG7" s="934"/>
      <c r="CH7" s="934"/>
      <c r="CI7" s="934"/>
      <c r="CJ7" s="934"/>
      <c r="CK7" s="934"/>
      <c r="CL7" s="934"/>
      <c r="CM7" s="935"/>
      <c r="CN7" s="936" t="s">
        <v>52</v>
      </c>
      <c r="CO7" s="934"/>
      <c r="CP7" s="934"/>
      <c r="CQ7" s="934"/>
      <c r="CR7" s="934"/>
      <c r="CS7" s="934"/>
      <c r="CT7" s="934"/>
      <c r="CU7" s="934"/>
      <c r="CV7" s="934"/>
      <c r="CW7" s="934"/>
      <c r="CX7" s="934"/>
      <c r="CY7" s="934"/>
      <c r="CZ7" s="934"/>
      <c r="DA7" s="934"/>
      <c r="DB7" s="934"/>
      <c r="DC7" s="937"/>
      <c r="DD7" s="933" t="s">
        <v>53</v>
      </c>
      <c r="DE7" s="934"/>
      <c r="DF7" s="934"/>
      <c r="DG7" s="934"/>
      <c r="DH7" s="934"/>
      <c r="DI7" s="934"/>
      <c r="DJ7" s="934"/>
      <c r="DK7" s="934"/>
      <c r="DL7" s="934"/>
      <c r="DM7" s="934"/>
      <c r="DN7" s="934"/>
      <c r="DO7" s="935"/>
      <c r="DP7" s="933" t="s">
        <v>54</v>
      </c>
      <c r="DQ7" s="935"/>
      <c r="DR7" s="933" t="s">
        <v>55</v>
      </c>
      <c r="DS7" s="935"/>
      <c r="DT7" s="936" t="s">
        <v>56</v>
      </c>
      <c r="DU7" s="937"/>
      <c r="DV7" s="934" t="s">
        <v>57</v>
      </c>
      <c r="DW7" s="934"/>
      <c r="DX7" s="935"/>
      <c r="DY7" s="933" t="s">
        <v>58</v>
      </c>
      <c r="DZ7" s="934"/>
      <c r="EA7" s="935"/>
      <c r="EB7" s="936" t="s">
        <v>59</v>
      </c>
      <c r="EC7" s="934"/>
      <c r="ED7" s="934"/>
      <c r="EE7" s="934" t="s">
        <v>60</v>
      </c>
      <c r="EF7" s="934"/>
      <c r="EG7" s="934"/>
      <c r="EH7" s="934" t="s">
        <v>61</v>
      </c>
      <c r="EI7" s="934"/>
      <c r="EJ7" s="937"/>
      <c r="EK7" s="933" t="s">
        <v>63</v>
      </c>
      <c r="EL7" s="934"/>
      <c r="EM7" s="935"/>
      <c r="EN7" s="779" t="s">
        <v>62</v>
      </c>
      <c r="EO7" s="780"/>
      <c r="EP7" s="853"/>
      <c r="EQ7" s="851"/>
      <c r="ER7" s="851"/>
      <c r="ES7" s="864"/>
    </row>
    <row r="8" spans="1:154" s="16" customFormat="1" ht="111.75" customHeight="1" thickBot="1">
      <c r="A8" s="866"/>
      <c r="B8" s="881"/>
      <c r="C8" s="852" t="s">
        <v>64</v>
      </c>
      <c r="D8" s="854" t="s">
        <v>65</v>
      </c>
      <c r="E8" s="852" t="s">
        <v>64</v>
      </c>
      <c r="F8" s="854" t="s">
        <v>65</v>
      </c>
      <c r="G8" s="793" t="s">
        <v>66</v>
      </c>
      <c r="H8" s="849" t="s">
        <v>67</v>
      </c>
      <c r="I8" s="849" t="s">
        <v>64</v>
      </c>
      <c r="J8" s="857" t="s">
        <v>65</v>
      </c>
      <c r="K8" s="852" t="s">
        <v>67</v>
      </c>
      <c r="L8" s="849" t="s">
        <v>68</v>
      </c>
      <c r="M8" s="849" t="s">
        <v>64</v>
      </c>
      <c r="N8" s="854" t="s">
        <v>65</v>
      </c>
      <c r="O8" s="852" t="s">
        <v>67</v>
      </c>
      <c r="P8" s="849" t="s">
        <v>69</v>
      </c>
      <c r="Q8" s="849" t="s">
        <v>64</v>
      </c>
      <c r="R8" s="854" t="s">
        <v>65</v>
      </c>
      <c r="S8" s="852" t="s">
        <v>70</v>
      </c>
      <c r="T8" s="849" t="s">
        <v>71</v>
      </c>
      <c r="U8" s="849" t="s">
        <v>64</v>
      </c>
      <c r="V8" s="854" t="s">
        <v>65</v>
      </c>
      <c r="W8" s="852" t="s">
        <v>72</v>
      </c>
      <c r="X8" s="849" t="s">
        <v>73</v>
      </c>
      <c r="Y8" s="849" t="s">
        <v>64</v>
      </c>
      <c r="Z8" s="854" t="s">
        <v>65</v>
      </c>
      <c r="AA8" s="852" t="s">
        <v>74</v>
      </c>
      <c r="AB8" s="849" t="s">
        <v>75</v>
      </c>
      <c r="AC8" s="849" t="s">
        <v>64</v>
      </c>
      <c r="AD8" s="854" t="s">
        <v>65</v>
      </c>
      <c r="AE8" s="852" t="s">
        <v>76</v>
      </c>
      <c r="AF8" s="849" t="s">
        <v>77</v>
      </c>
      <c r="AG8" s="849" t="s">
        <v>78</v>
      </c>
      <c r="AH8" s="849" t="s">
        <v>64</v>
      </c>
      <c r="AI8" s="854" t="s">
        <v>65</v>
      </c>
      <c r="AJ8" s="852" t="s">
        <v>154</v>
      </c>
      <c r="AK8" s="849" t="s">
        <v>155</v>
      </c>
      <c r="AL8" s="849" t="s">
        <v>64</v>
      </c>
      <c r="AM8" s="857" t="s">
        <v>65</v>
      </c>
      <c r="AN8" s="849" t="s">
        <v>79</v>
      </c>
      <c r="AO8" s="849" t="s">
        <v>80</v>
      </c>
      <c r="AP8" s="849" t="s">
        <v>64</v>
      </c>
      <c r="AQ8" s="939" t="s">
        <v>81</v>
      </c>
      <c r="AR8" s="7"/>
      <c r="AS8" s="873" t="s">
        <v>82</v>
      </c>
      <c r="AT8" s="849" t="s">
        <v>82</v>
      </c>
      <c r="AU8" s="849" t="s">
        <v>83</v>
      </c>
      <c r="AV8" s="849" t="s">
        <v>64</v>
      </c>
      <c r="AW8" s="939" t="s">
        <v>65</v>
      </c>
      <c r="AX8" s="849" t="s">
        <v>84</v>
      </c>
      <c r="AY8" s="849" t="s">
        <v>85</v>
      </c>
      <c r="AZ8" s="849"/>
      <c r="BA8" s="849" t="s">
        <v>86</v>
      </c>
      <c r="BB8" s="849" t="s">
        <v>87</v>
      </c>
      <c r="BC8" s="873" t="s">
        <v>88</v>
      </c>
      <c r="BD8" s="873" t="s">
        <v>89</v>
      </c>
      <c r="BE8" s="849" t="s">
        <v>64</v>
      </c>
      <c r="BF8" s="939" t="s">
        <v>65</v>
      </c>
      <c r="BG8" s="21"/>
      <c r="BH8" s="21"/>
      <c r="BI8" s="21"/>
      <c r="BJ8" s="849" t="s">
        <v>90</v>
      </c>
      <c r="BK8" s="849" t="s">
        <v>91</v>
      </c>
      <c r="BL8" s="849" t="s">
        <v>64</v>
      </c>
      <c r="BM8" s="939" t="s">
        <v>65</v>
      </c>
      <c r="BN8" s="849" t="s">
        <v>92</v>
      </c>
      <c r="BO8" s="849" t="s">
        <v>93</v>
      </c>
      <c r="BP8" s="849" t="s">
        <v>94</v>
      </c>
      <c r="BQ8" s="849" t="s">
        <v>64</v>
      </c>
      <c r="BR8" s="939" t="s">
        <v>65</v>
      </c>
      <c r="BS8" s="849" t="s">
        <v>95</v>
      </c>
      <c r="BT8" s="849" t="s">
        <v>64</v>
      </c>
      <c r="BU8" s="939" t="s">
        <v>65</v>
      </c>
      <c r="BV8" s="849" t="s">
        <v>64</v>
      </c>
      <c r="BW8" s="854" t="s">
        <v>65</v>
      </c>
      <c r="BX8" s="933" t="s">
        <v>96</v>
      </c>
      <c r="BY8" s="934"/>
      <c r="BZ8" s="934" t="s">
        <v>156</v>
      </c>
      <c r="CA8" s="934"/>
      <c r="CB8" s="937" t="s">
        <v>97</v>
      </c>
      <c r="CC8" s="936"/>
      <c r="CD8" s="934" t="s">
        <v>151</v>
      </c>
      <c r="CE8" s="934"/>
      <c r="CF8" s="934" t="s">
        <v>161</v>
      </c>
      <c r="CG8" s="934"/>
      <c r="CH8" s="941"/>
      <c r="CI8" s="941"/>
      <c r="CJ8" s="934" t="s">
        <v>98</v>
      </c>
      <c r="CK8" s="934"/>
      <c r="CL8" s="934" t="s">
        <v>105</v>
      </c>
      <c r="CM8" s="935"/>
      <c r="CN8" s="936" t="s">
        <v>99</v>
      </c>
      <c r="CO8" s="934"/>
      <c r="CP8" s="938" t="s">
        <v>152</v>
      </c>
      <c r="CQ8" s="938"/>
      <c r="CR8" s="934" t="s">
        <v>157</v>
      </c>
      <c r="CS8" s="934"/>
      <c r="CT8" s="934" t="s">
        <v>153</v>
      </c>
      <c r="CU8" s="934"/>
      <c r="CV8" s="934" t="s">
        <v>162</v>
      </c>
      <c r="CW8" s="934"/>
      <c r="CX8" s="934" t="s">
        <v>100</v>
      </c>
      <c r="CY8" s="934"/>
      <c r="CZ8" s="934" t="s">
        <v>101</v>
      </c>
      <c r="DA8" s="934"/>
      <c r="DB8" s="934" t="s">
        <v>105</v>
      </c>
      <c r="DC8" s="937"/>
      <c r="DD8" s="933" t="s">
        <v>158</v>
      </c>
      <c r="DE8" s="934"/>
      <c r="DF8" s="934" t="s">
        <v>102</v>
      </c>
      <c r="DG8" s="934"/>
      <c r="DH8" s="934" t="s">
        <v>103</v>
      </c>
      <c r="DI8" s="934"/>
      <c r="DJ8" s="934" t="s">
        <v>159</v>
      </c>
      <c r="DK8" s="934"/>
      <c r="DL8" s="934" t="s">
        <v>104</v>
      </c>
      <c r="DM8" s="934"/>
      <c r="DN8" s="934" t="s">
        <v>105</v>
      </c>
      <c r="DO8" s="935"/>
      <c r="DP8" s="883" t="s">
        <v>64</v>
      </c>
      <c r="DQ8" s="883" t="s">
        <v>65</v>
      </c>
      <c r="DR8" s="852" t="s">
        <v>64</v>
      </c>
      <c r="DS8" s="861" t="s">
        <v>65</v>
      </c>
      <c r="DT8" s="793" t="s">
        <v>64</v>
      </c>
      <c r="DU8" s="776" t="s">
        <v>65</v>
      </c>
      <c r="DV8" s="849" t="s">
        <v>106</v>
      </c>
      <c r="DW8" s="849" t="s">
        <v>64</v>
      </c>
      <c r="DX8" s="861" t="s">
        <v>65</v>
      </c>
      <c r="DY8" s="852" t="s">
        <v>106</v>
      </c>
      <c r="DZ8" s="849" t="s">
        <v>64</v>
      </c>
      <c r="EA8" s="861" t="s">
        <v>65</v>
      </c>
      <c r="EB8" s="793" t="s">
        <v>106</v>
      </c>
      <c r="EC8" s="849" t="s">
        <v>64</v>
      </c>
      <c r="ED8" s="849" t="s">
        <v>65</v>
      </c>
      <c r="EE8" s="849" t="s">
        <v>106</v>
      </c>
      <c r="EF8" s="849" t="s">
        <v>64</v>
      </c>
      <c r="EG8" s="849" t="s">
        <v>65</v>
      </c>
      <c r="EH8" s="849" t="s">
        <v>106</v>
      </c>
      <c r="EI8" s="776" t="s">
        <v>64</v>
      </c>
      <c r="EJ8" s="883" t="s">
        <v>65</v>
      </c>
      <c r="EK8" s="895" t="s">
        <v>106</v>
      </c>
      <c r="EL8" s="876" t="s">
        <v>64</v>
      </c>
      <c r="EM8" s="898" t="s">
        <v>65</v>
      </c>
      <c r="EN8" s="845" t="s">
        <v>64</v>
      </c>
      <c r="EO8" s="847" t="s">
        <v>65</v>
      </c>
      <c r="EP8" s="852" t="s">
        <v>107</v>
      </c>
      <c r="EQ8" s="849" t="s">
        <v>108</v>
      </c>
      <c r="ER8" s="849" t="s">
        <v>109</v>
      </c>
      <c r="ES8" s="861" t="s">
        <v>110</v>
      </c>
      <c r="EU8" s="16" t="s">
        <v>107</v>
      </c>
      <c r="EV8" s="16" t="s">
        <v>108</v>
      </c>
      <c r="EW8" s="16" t="s">
        <v>109</v>
      </c>
      <c r="EX8" s="16" t="s">
        <v>110</v>
      </c>
    </row>
    <row r="9" spans="1:149" s="11" customFormat="1" ht="96.75" customHeight="1" thickBot="1">
      <c r="A9" s="868"/>
      <c r="B9" s="882"/>
      <c r="C9" s="853"/>
      <c r="D9" s="855"/>
      <c r="E9" s="853"/>
      <c r="F9" s="855"/>
      <c r="G9" s="771"/>
      <c r="H9" s="851"/>
      <c r="I9" s="851"/>
      <c r="J9" s="858"/>
      <c r="K9" s="853"/>
      <c r="L9" s="851"/>
      <c r="M9" s="851"/>
      <c r="N9" s="855"/>
      <c r="O9" s="853"/>
      <c r="P9" s="851"/>
      <c r="Q9" s="851"/>
      <c r="R9" s="855"/>
      <c r="S9" s="853"/>
      <c r="T9" s="851"/>
      <c r="U9" s="851"/>
      <c r="V9" s="855"/>
      <c r="W9" s="853"/>
      <c r="X9" s="851"/>
      <c r="Y9" s="851"/>
      <c r="Z9" s="855"/>
      <c r="AA9" s="853"/>
      <c r="AB9" s="851"/>
      <c r="AC9" s="851"/>
      <c r="AD9" s="855"/>
      <c r="AE9" s="853"/>
      <c r="AF9" s="851"/>
      <c r="AG9" s="851"/>
      <c r="AH9" s="851"/>
      <c r="AI9" s="855"/>
      <c r="AJ9" s="853"/>
      <c r="AK9" s="851"/>
      <c r="AL9" s="851"/>
      <c r="AM9" s="858"/>
      <c r="AN9" s="851"/>
      <c r="AO9" s="851"/>
      <c r="AP9" s="851"/>
      <c r="AQ9" s="940"/>
      <c r="AR9" s="15"/>
      <c r="AS9" s="942"/>
      <c r="AT9" s="851"/>
      <c r="AU9" s="851"/>
      <c r="AV9" s="851"/>
      <c r="AW9" s="940"/>
      <c r="AX9" s="851"/>
      <c r="AY9" s="14" t="s">
        <v>111</v>
      </c>
      <c r="AZ9" s="14" t="s">
        <v>112</v>
      </c>
      <c r="BA9" s="851"/>
      <c r="BB9" s="851"/>
      <c r="BC9" s="942"/>
      <c r="BD9" s="942"/>
      <c r="BE9" s="851"/>
      <c r="BF9" s="940"/>
      <c r="BG9" s="23"/>
      <c r="BH9" s="23"/>
      <c r="BI9" s="23"/>
      <c r="BJ9" s="851"/>
      <c r="BK9" s="851"/>
      <c r="BL9" s="851"/>
      <c r="BM9" s="940"/>
      <c r="BN9" s="851"/>
      <c r="BO9" s="851"/>
      <c r="BP9" s="851"/>
      <c r="BQ9" s="851"/>
      <c r="BR9" s="940"/>
      <c r="BS9" s="851"/>
      <c r="BT9" s="851"/>
      <c r="BU9" s="940"/>
      <c r="BV9" s="851"/>
      <c r="BW9" s="855"/>
      <c r="BX9" s="421" t="s">
        <v>113</v>
      </c>
      <c r="BY9" s="379" t="s">
        <v>65</v>
      </c>
      <c r="BZ9" s="378" t="s">
        <v>113</v>
      </c>
      <c r="CA9" s="379" t="s">
        <v>65</v>
      </c>
      <c r="CB9" s="378" t="s">
        <v>113</v>
      </c>
      <c r="CC9" s="379" t="s">
        <v>65</v>
      </c>
      <c r="CD9" s="378" t="s">
        <v>113</v>
      </c>
      <c r="CE9" s="379" t="s">
        <v>65</v>
      </c>
      <c r="CF9" s="378" t="s">
        <v>113</v>
      </c>
      <c r="CG9" s="379" t="s">
        <v>65</v>
      </c>
      <c r="CH9" s="378" t="s">
        <v>113</v>
      </c>
      <c r="CI9" s="379" t="s">
        <v>65</v>
      </c>
      <c r="CJ9" s="378" t="s">
        <v>113</v>
      </c>
      <c r="CK9" s="379" t="s">
        <v>65</v>
      </c>
      <c r="CL9" s="378" t="s">
        <v>64</v>
      </c>
      <c r="CM9" s="422" t="s">
        <v>65</v>
      </c>
      <c r="CN9" s="380" t="s">
        <v>114</v>
      </c>
      <c r="CO9" s="378" t="s">
        <v>65</v>
      </c>
      <c r="CP9" s="378" t="s">
        <v>114</v>
      </c>
      <c r="CQ9" s="378" t="s">
        <v>65</v>
      </c>
      <c r="CR9" s="378" t="s">
        <v>114</v>
      </c>
      <c r="CS9" s="379" t="s">
        <v>65</v>
      </c>
      <c r="CT9" s="378" t="s">
        <v>114</v>
      </c>
      <c r="CU9" s="423" t="s">
        <v>65</v>
      </c>
      <c r="CV9" s="421" t="s">
        <v>114</v>
      </c>
      <c r="CW9" s="379" t="s">
        <v>65</v>
      </c>
      <c r="CX9" s="421" t="s">
        <v>114</v>
      </c>
      <c r="CY9" s="379" t="s">
        <v>65</v>
      </c>
      <c r="CZ9" s="378" t="s">
        <v>114</v>
      </c>
      <c r="DA9" s="379" t="s">
        <v>65</v>
      </c>
      <c r="DB9" s="378" t="s">
        <v>64</v>
      </c>
      <c r="DC9" s="422" t="s">
        <v>65</v>
      </c>
      <c r="DD9" s="380" t="s">
        <v>114</v>
      </c>
      <c r="DE9" s="379" t="s">
        <v>65</v>
      </c>
      <c r="DF9" s="378" t="s">
        <v>114</v>
      </c>
      <c r="DG9" s="379" t="s">
        <v>65</v>
      </c>
      <c r="DH9" s="378" t="s">
        <v>114</v>
      </c>
      <c r="DI9" s="379" t="s">
        <v>65</v>
      </c>
      <c r="DJ9" s="378" t="s">
        <v>114</v>
      </c>
      <c r="DK9" s="379" t="s">
        <v>65</v>
      </c>
      <c r="DL9" s="378" t="s">
        <v>114</v>
      </c>
      <c r="DM9" s="379" t="s">
        <v>65</v>
      </c>
      <c r="DN9" s="424" t="s">
        <v>64</v>
      </c>
      <c r="DO9" s="425" t="s">
        <v>65</v>
      </c>
      <c r="DP9" s="884"/>
      <c r="DQ9" s="884"/>
      <c r="DR9" s="853"/>
      <c r="DS9" s="864"/>
      <c r="DT9" s="771"/>
      <c r="DU9" s="772"/>
      <c r="DV9" s="851"/>
      <c r="DW9" s="851"/>
      <c r="DX9" s="864"/>
      <c r="DY9" s="853"/>
      <c r="DZ9" s="851"/>
      <c r="EA9" s="864"/>
      <c r="EB9" s="771"/>
      <c r="EC9" s="851"/>
      <c r="ED9" s="851"/>
      <c r="EE9" s="851"/>
      <c r="EF9" s="851"/>
      <c r="EG9" s="851"/>
      <c r="EH9" s="851"/>
      <c r="EI9" s="772"/>
      <c r="EJ9" s="884"/>
      <c r="EK9" s="896"/>
      <c r="EL9" s="897"/>
      <c r="EM9" s="899"/>
      <c r="EN9" s="846"/>
      <c r="EO9" s="848"/>
      <c r="EP9" s="853"/>
      <c r="EQ9" s="851"/>
      <c r="ER9" s="851"/>
      <c r="ES9" s="864"/>
    </row>
    <row r="10" spans="1:154" s="54" customFormat="1" ht="18.75">
      <c r="A10" s="24">
        <f aca="true" t="shared" si="0" ref="A10:A33">A9+1</f>
        <v>1</v>
      </c>
      <c r="B10" s="269" t="s">
        <v>137</v>
      </c>
      <c r="C10" s="25">
        <v>0</v>
      </c>
      <c r="D10" s="28">
        <v>1</v>
      </c>
      <c r="E10" s="25">
        <v>0</v>
      </c>
      <c r="F10" s="28">
        <v>1</v>
      </c>
      <c r="G10" s="188">
        <v>4881.6009</v>
      </c>
      <c r="H10" s="183">
        <v>6110.65719</v>
      </c>
      <c r="I10" s="26">
        <f aca="true" t="shared" si="1" ref="I10:I34">(G10-H10)/G10*100%</f>
        <v>-0.2517732021067104</v>
      </c>
      <c r="J10" s="153">
        <v>0</v>
      </c>
      <c r="K10" s="188">
        <v>6110.65719</v>
      </c>
      <c r="L10" s="183">
        <v>12561.4106</v>
      </c>
      <c r="M10" s="26">
        <f aca="true" t="shared" si="2" ref="M10:M34">K10/L10*100%</f>
        <v>0.4864626581030637</v>
      </c>
      <c r="N10" s="27">
        <v>0.5</v>
      </c>
      <c r="O10" s="188">
        <v>6110.65719</v>
      </c>
      <c r="P10" s="183">
        <v>6110.65719</v>
      </c>
      <c r="Q10" s="26">
        <f aca="true" t="shared" si="3" ref="Q10:Q34">O10/P10*100%</f>
        <v>1</v>
      </c>
      <c r="R10" s="28">
        <v>1</v>
      </c>
      <c r="S10" s="188">
        <v>6110.65719</v>
      </c>
      <c r="T10" s="183">
        <v>3486.30138</v>
      </c>
      <c r="U10" s="29">
        <f aca="true" t="shared" si="4" ref="U10:U34">S10/T10*100%</f>
        <v>1.7527621751393163</v>
      </c>
      <c r="V10" s="154">
        <v>1</v>
      </c>
      <c r="W10" s="188">
        <v>613.3053</v>
      </c>
      <c r="X10" s="183">
        <v>936.4086</v>
      </c>
      <c r="Y10" s="29">
        <f aca="true" t="shared" si="5" ref="Y10:Y34">X10/W10*100%</f>
        <v>1.5268229379397178</v>
      </c>
      <c r="Z10" s="154">
        <v>0</v>
      </c>
      <c r="AA10" s="188">
        <v>936.4086</v>
      </c>
      <c r="AB10" s="183">
        <v>3511.36102</v>
      </c>
      <c r="AC10" s="29">
        <f aca="true" t="shared" si="6" ref="AC10:AC34">AA10/AB10*100%</f>
        <v>0.2666796705512212</v>
      </c>
      <c r="AD10" s="371">
        <f aca="true" t="shared" si="7" ref="AD10:AD33">1-AC10/100%</f>
        <v>0.7333203294487788</v>
      </c>
      <c r="AE10" s="182">
        <v>6450.75341</v>
      </c>
      <c r="AF10" s="183">
        <v>12561.4106</v>
      </c>
      <c r="AG10" s="183">
        <v>165.83</v>
      </c>
      <c r="AH10" s="26">
        <f aca="true" t="shared" si="8" ref="AH10:AH34">AE10/(AF10-AG10)*100%</f>
        <v>0.5204075241138766</v>
      </c>
      <c r="AI10" s="30">
        <v>0.5</v>
      </c>
      <c r="AJ10" s="193">
        <v>-277.9</v>
      </c>
      <c r="AK10" s="194">
        <v>1291.4</v>
      </c>
      <c r="AL10" s="194">
        <f aca="true" t="shared" si="9" ref="AL10:AL34">AJ10-AK10</f>
        <v>-1569.3000000000002</v>
      </c>
      <c r="AM10" s="146">
        <v>1</v>
      </c>
      <c r="AN10" s="36">
        <v>1910.3</v>
      </c>
      <c r="AO10" s="36">
        <v>2547.1</v>
      </c>
      <c r="AP10" s="26">
        <f aca="true" t="shared" si="10" ref="AP10:AP34">AN10*100%/AO10</f>
        <v>0.7499901849161792</v>
      </c>
      <c r="AQ10" s="381">
        <v>1</v>
      </c>
      <c r="AR10" s="433">
        <f aca="true" t="shared" si="11" ref="AR10:AR34">AT10*100/AT36</f>
        <v>3.0783249350826503</v>
      </c>
      <c r="AS10" s="433">
        <v>11780.1</v>
      </c>
      <c r="AT10" s="36">
        <v>11780.1</v>
      </c>
      <c r="AU10" s="36">
        <v>5048.5</v>
      </c>
      <c r="AV10" s="26">
        <f aca="true" t="shared" si="12" ref="AV10:AV34">AU10*100%/AS10</f>
        <v>0.42856172698024636</v>
      </c>
      <c r="AW10" s="35">
        <v>1</v>
      </c>
      <c r="AX10" s="36">
        <v>1698.82</v>
      </c>
      <c r="AY10" s="36">
        <f aca="true" t="shared" si="13" ref="AY10:AY34">AX10*100/AN10</f>
        <v>88.92948751505</v>
      </c>
      <c r="AZ10" s="36">
        <f aca="true" t="shared" si="14" ref="AZ10:AZ34">AX10*100/AU10</f>
        <v>33.64999504803407</v>
      </c>
      <c r="BA10" s="35">
        <v>0</v>
      </c>
      <c r="BB10" s="35">
        <v>1</v>
      </c>
      <c r="BC10" s="382">
        <v>2609</v>
      </c>
      <c r="BD10" s="36">
        <f aca="true" t="shared" si="15" ref="BD10:BD26">AS10*1000/BC10</f>
        <v>4515.178229206593</v>
      </c>
      <c r="BE10" s="26">
        <f>BD10/BD36*100%</f>
        <v>1.1823174720003529</v>
      </c>
      <c r="BF10" s="35">
        <v>1</v>
      </c>
      <c r="BG10" s="35">
        <f>BD10*100/BD36</f>
        <v>118.23174720003529</v>
      </c>
      <c r="BH10" s="38">
        <f aca="true" t="shared" si="16" ref="BH10:BH34">BJ10*100/AN10</f>
        <v>225.00593781081503</v>
      </c>
      <c r="BI10" s="38">
        <f aca="true" t="shared" si="17" ref="BI10:BI34">BJ10*100/AT10</f>
        <v>36.48770748974965</v>
      </c>
      <c r="BJ10" s="36">
        <f>4298288.43/1000</f>
        <v>4298.28843</v>
      </c>
      <c r="BK10" s="36">
        <f aca="true" t="shared" si="18" ref="BK10:BK34">BJ10*1000/BC10</f>
        <v>1647.4850249137598</v>
      </c>
      <c r="BL10" s="26">
        <f>BK10/BK36*100%</f>
        <v>2.4439950459913953</v>
      </c>
      <c r="BM10" s="35">
        <v>1</v>
      </c>
      <c r="BN10" s="42">
        <v>821</v>
      </c>
      <c r="BO10" s="40">
        <v>255.15</v>
      </c>
      <c r="BP10" s="26">
        <f>BO10/(BN10+BO10)</f>
        <v>0.237095200483204</v>
      </c>
      <c r="BQ10" s="372">
        <v>1</v>
      </c>
      <c r="BR10" s="38">
        <v>1</v>
      </c>
      <c r="BS10" s="36">
        <v>3502.492</v>
      </c>
      <c r="BT10" s="29">
        <f aca="true" t="shared" si="19" ref="BT10:BT34">BS10*100%/AT10</f>
        <v>0.2973227731513315</v>
      </c>
      <c r="BU10" s="383">
        <f aca="true" t="shared" si="20" ref="BU10:BU34">BT10/50%</f>
        <v>0.594645546302663</v>
      </c>
      <c r="BV10" s="373">
        <v>7.796435501828972</v>
      </c>
      <c r="BW10" s="165">
        <f aca="true" t="shared" si="21" ref="BW10:BW34">1-(BV10/100)</f>
        <v>0.9220356449817103</v>
      </c>
      <c r="BX10" s="384">
        <f>1+1</f>
        <v>2</v>
      </c>
      <c r="BY10" s="165">
        <f aca="true" t="shared" si="22" ref="BY10:BY33">(1-BX10/12)</f>
        <v>0.8333333333333334</v>
      </c>
      <c r="BZ10" s="385">
        <v>0</v>
      </c>
      <c r="CA10" s="381">
        <f>1-BZ10/1</f>
        <v>1</v>
      </c>
      <c r="CB10" s="385">
        <v>0</v>
      </c>
      <c r="CC10" s="28">
        <f aca="true" t="shared" si="23" ref="CC10:CC33">1-CB10/4</f>
        <v>1</v>
      </c>
      <c r="CD10" s="386">
        <v>0</v>
      </c>
      <c r="CE10" s="387">
        <f>1-CD10/1</f>
        <v>1</v>
      </c>
      <c r="CF10" s="42"/>
      <c r="CG10" s="28">
        <f aca="true" t="shared" si="24" ref="CG10:CG33">1-CF10/1</f>
        <v>1</v>
      </c>
      <c r="CH10" s="42"/>
      <c r="CI10" s="43"/>
      <c r="CJ10" s="36"/>
      <c r="CK10" s="28">
        <f aca="true" t="shared" si="25" ref="CK10:CK33">1-CJ10/1</f>
        <v>1</v>
      </c>
      <c r="CL10" s="388">
        <f aca="true" t="shared" si="26" ref="CL10:CL33">BX10+BZ10+CB10+CD10+CF10+CH10+CJ10</f>
        <v>2</v>
      </c>
      <c r="CM10" s="28">
        <f aca="true" t="shared" si="27" ref="CM10:CM33">1-CL10/20</f>
        <v>0.9</v>
      </c>
      <c r="CN10" s="44"/>
      <c r="CO10" s="43">
        <f aca="true" t="shared" si="28" ref="CO10:CO33">1-CN10/6</f>
        <v>1</v>
      </c>
      <c r="CP10" s="36"/>
      <c r="CQ10" s="36">
        <f aca="true" t="shared" si="29" ref="CQ10:CQ33">1-CP10/11</f>
        <v>1</v>
      </c>
      <c r="CR10" s="385">
        <v>0</v>
      </c>
      <c r="CS10" s="38">
        <f aca="true" t="shared" si="30" ref="CS10:CS33">1-CR10/3</f>
        <v>1</v>
      </c>
      <c r="CT10" s="385">
        <v>0</v>
      </c>
      <c r="CU10" s="381">
        <f aca="true" t="shared" si="31" ref="CU10:CU33">1-CT10/2</f>
        <v>1</v>
      </c>
      <c r="CV10" s="384"/>
      <c r="CW10" s="165">
        <f aca="true" t="shared" si="32" ref="CW10:CW32">1-CV10/5</f>
        <v>1</v>
      </c>
      <c r="CX10" s="384">
        <f>2+3+2+1</f>
        <v>8</v>
      </c>
      <c r="CY10" s="165">
        <f aca="true" t="shared" si="33" ref="CY10:CY33">1-CX10/11</f>
        <v>0.2727272727272727</v>
      </c>
      <c r="CZ10" s="384">
        <v>1</v>
      </c>
      <c r="DA10" s="165">
        <f aca="true" t="shared" si="34" ref="DA10:DA33">1-CZ10/8</f>
        <v>0.875</v>
      </c>
      <c r="DB10" s="388">
        <f aca="true" t="shared" si="35" ref="DB10:DB33">CR10+CT10+CX10+CZ10+CV10</f>
        <v>9</v>
      </c>
      <c r="DC10" s="165">
        <f aca="true" t="shared" si="36" ref="DC10:DC32">1-DB10/27</f>
        <v>0.6666666666666667</v>
      </c>
      <c r="DD10" s="389">
        <v>0</v>
      </c>
      <c r="DE10" s="38">
        <v>1</v>
      </c>
      <c r="DF10" s="385">
        <v>1</v>
      </c>
      <c r="DG10" s="154">
        <f aca="true" t="shared" si="37" ref="DG10:DG33">1-DF10/14</f>
        <v>0.9285714285714286</v>
      </c>
      <c r="DH10" s="42">
        <v>1</v>
      </c>
      <c r="DI10" s="38">
        <f aca="true" t="shared" si="38" ref="DI10:DI33">1-DH10/45</f>
        <v>0.9777777777777777</v>
      </c>
      <c r="DJ10" s="36">
        <v>0</v>
      </c>
      <c r="DK10" s="38">
        <v>1</v>
      </c>
      <c r="DL10" s="385">
        <v>0</v>
      </c>
      <c r="DM10" s="390">
        <v>1</v>
      </c>
      <c r="DN10" s="385">
        <f aca="true" t="shared" si="39" ref="DN10:DN32">DD10+DF10+DH10+DJ10+DL10</f>
        <v>2</v>
      </c>
      <c r="DO10" s="390">
        <f aca="true" t="shared" si="40" ref="DO10:DO33">1-DN10/62</f>
        <v>0.967741935483871</v>
      </c>
      <c r="DP10" s="171">
        <v>146</v>
      </c>
      <c r="DQ10" s="165">
        <f>1-DP10/(1465)*100/100</f>
        <v>0.9003412969283277</v>
      </c>
      <c r="DR10" s="36">
        <v>1</v>
      </c>
      <c r="DS10" s="28">
        <f aca="true" t="shared" si="41" ref="DS10:DS33">1-DR10/4</f>
        <v>0.75</v>
      </c>
      <c r="DT10" s="45">
        <v>1</v>
      </c>
      <c r="DU10" s="28">
        <v>1</v>
      </c>
      <c r="DV10" s="46">
        <v>1</v>
      </c>
      <c r="DW10" s="45">
        <v>1</v>
      </c>
      <c r="DX10" s="28">
        <v>1</v>
      </c>
      <c r="DY10" s="46"/>
      <c r="DZ10" s="45">
        <v>1</v>
      </c>
      <c r="EA10" s="28">
        <v>1</v>
      </c>
      <c r="EB10" s="47"/>
      <c r="EC10" s="45">
        <v>1</v>
      </c>
      <c r="ED10" s="38">
        <v>1</v>
      </c>
      <c r="EE10" s="45"/>
      <c r="EF10" s="45">
        <v>1</v>
      </c>
      <c r="EG10" s="38">
        <v>1</v>
      </c>
      <c r="EH10" s="45"/>
      <c r="EI10" s="45">
        <v>1</v>
      </c>
      <c r="EJ10" s="374">
        <v>1</v>
      </c>
      <c r="EK10" s="46"/>
      <c r="EL10" s="45"/>
      <c r="EM10" s="28"/>
      <c r="EN10" s="176"/>
      <c r="EO10" s="174"/>
      <c r="EP10" s="377">
        <f aca="true" t="shared" si="42" ref="EP10:EP33">D10+F10+J10+N10+R10+V10+Z10+AD10+AI10+AM10+AQ10+AW10+BA10+BB10+BF10+BM10+BR10+BU10+BW10+CM10+DC10+DO10+DQ10+DS10+DU10+DX10+EA10+ED10+EG10+EJ10</f>
        <v>24.434751419812017</v>
      </c>
      <c r="EQ10" s="24">
        <f aca="true" t="shared" si="43" ref="EQ10:EQ33">EQ9+1</f>
        <v>1</v>
      </c>
      <c r="ER10" s="428">
        <f>(EP10-EP33)/3</f>
        <v>1.617057655305351</v>
      </c>
      <c r="ES10" s="52" t="s">
        <v>119</v>
      </c>
      <c r="ET10" s="420"/>
      <c r="EU10" s="54">
        <v>24.399098082404016</v>
      </c>
      <c r="EV10" s="54">
        <v>1</v>
      </c>
      <c r="EW10" s="54">
        <v>1.552704073700215</v>
      </c>
      <c r="EX10" s="54" t="s">
        <v>119</v>
      </c>
    </row>
    <row r="11" spans="1:154" s="54" customFormat="1" ht="18.75">
      <c r="A11" s="55">
        <f t="shared" si="0"/>
        <v>2</v>
      </c>
      <c r="B11" s="56" t="s">
        <v>121</v>
      </c>
      <c r="C11" s="57">
        <v>0</v>
      </c>
      <c r="D11" s="158">
        <v>1</v>
      </c>
      <c r="E11" s="57">
        <v>0</v>
      </c>
      <c r="F11" s="158">
        <v>1</v>
      </c>
      <c r="G11" s="189">
        <v>23084.4</v>
      </c>
      <c r="H11" s="185">
        <v>38950.90831</v>
      </c>
      <c r="I11" s="58">
        <f t="shared" si="1"/>
        <v>-0.6873259998093949</v>
      </c>
      <c r="J11" s="151">
        <v>0</v>
      </c>
      <c r="K11" s="189">
        <v>38950.90831</v>
      </c>
      <c r="L11" s="185">
        <v>43765.26823</v>
      </c>
      <c r="M11" s="58">
        <f t="shared" si="2"/>
        <v>0.8899958776740713</v>
      </c>
      <c r="N11" s="159">
        <v>1</v>
      </c>
      <c r="O11" s="189">
        <v>38950.90831</v>
      </c>
      <c r="P11" s="185">
        <v>37039.84736</v>
      </c>
      <c r="Q11" s="58">
        <f t="shared" si="3"/>
        <v>1.051594730707875</v>
      </c>
      <c r="R11" s="28">
        <v>1</v>
      </c>
      <c r="S11" s="189">
        <v>38950.90831</v>
      </c>
      <c r="T11" s="185">
        <v>20492.12117</v>
      </c>
      <c r="U11" s="61">
        <f t="shared" si="4"/>
        <v>1.9007748386254542</v>
      </c>
      <c r="V11" s="155">
        <v>1</v>
      </c>
      <c r="W11" s="189">
        <v>8362.2266</v>
      </c>
      <c r="X11" s="185">
        <v>21555.6416</v>
      </c>
      <c r="Y11" s="61">
        <f t="shared" si="5"/>
        <v>2.5777394743165654</v>
      </c>
      <c r="Z11" s="155">
        <v>0</v>
      </c>
      <c r="AA11" s="189">
        <v>21555.6416</v>
      </c>
      <c r="AB11" s="185">
        <v>37065.07126</v>
      </c>
      <c r="AC11" s="61">
        <f t="shared" si="6"/>
        <v>0.5815621248585723</v>
      </c>
      <c r="AD11" s="181">
        <f t="shared" si="7"/>
        <v>0.4184378751414277</v>
      </c>
      <c r="AE11" s="184">
        <v>4814.35992</v>
      </c>
      <c r="AF11" s="185">
        <v>43765.26823</v>
      </c>
      <c r="AG11" s="185">
        <v>377.43</v>
      </c>
      <c r="AH11" s="58">
        <f t="shared" si="8"/>
        <v>0.11096104614567241</v>
      </c>
      <c r="AI11" s="158">
        <v>1</v>
      </c>
      <c r="AJ11" s="195">
        <v>478.9</v>
      </c>
      <c r="AK11" s="196">
        <v>7007.1</v>
      </c>
      <c r="AL11" s="196">
        <f t="shared" si="9"/>
        <v>-6528.200000000001</v>
      </c>
      <c r="AM11" s="147">
        <v>1</v>
      </c>
      <c r="AN11" s="66">
        <v>3330.9</v>
      </c>
      <c r="AO11" s="66">
        <v>3948.8</v>
      </c>
      <c r="AP11" s="58">
        <f t="shared" si="10"/>
        <v>0.8435220826580226</v>
      </c>
      <c r="AQ11" s="391">
        <v>1</v>
      </c>
      <c r="AR11" s="434">
        <f t="shared" si="11"/>
        <v>11.011137535934173</v>
      </c>
      <c r="AS11" s="434">
        <v>42137.25</v>
      </c>
      <c r="AT11" s="66">
        <v>42137.3</v>
      </c>
      <c r="AU11" s="66">
        <v>11168.7</v>
      </c>
      <c r="AV11" s="26">
        <f t="shared" si="12"/>
        <v>0.2650552658277415</v>
      </c>
      <c r="AW11" s="35">
        <v>1</v>
      </c>
      <c r="AX11" s="66">
        <v>3227.41</v>
      </c>
      <c r="AY11" s="66">
        <f t="shared" si="13"/>
        <v>96.89303191329671</v>
      </c>
      <c r="AZ11" s="66">
        <f t="shared" si="14"/>
        <v>28.896917277749424</v>
      </c>
      <c r="BA11" s="35">
        <v>0</v>
      </c>
      <c r="BB11" s="35">
        <v>1</v>
      </c>
      <c r="BC11" s="392">
        <v>7908</v>
      </c>
      <c r="BD11" s="36">
        <f t="shared" si="15"/>
        <v>5328.433232169955</v>
      </c>
      <c r="BE11" s="58">
        <f>BD11/BD37*100%</f>
        <v>1.3952715460999352</v>
      </c>
      <c r="BF11" s="35">
        <v>1</v>
      </c>
      <c r="BG11" s="68">
        <f>BD11*100/BD37</f>
        <v>139.52715460999352</v>
      </c>
      <c r="BH11" s="69">
        <f t="shared" si="16"/>
        <v>222.3380236572698</v>
      </c>
      <c r="BI11" s="69">
        <f t="shared" si="17"/>
        <v>17.57553813367254</v>
      </c>
      <c r="BJ11" s="66">
        <f>7405857.23/1000</f>
        <v>7405.8572300000005</v>
      </c>
      <c r="BK11" s="66">
        <f t="shared" si="18"/>
        <v>936.501925897825</v>
      </c>
      <c r="BL11" s="58">
        <f>BK11/BK37*100%</f>
        <v>1.3892727598998942</v>
      </c>
      <c r="BM11" s="68">
        <v>1</v>
      </c>
      <c r="BN11" s="73">
        <v>1668.6</v>
      </c>
      <c r="BO11" s="71">
        <v>1072.61</v>
      </c>
      <c r="BP11" s="58">
        <f>BO11/(BN11+BO11)</f>
        <v>0.39129070738834304</v>
      </c>
      <c r="BQ11" s="208">
        <v>1</v>
      </c>
      <c r="BR11" s="38">
        <v>1</v>
      </c>
      <c r="BS11" s="66">
        <v>19907.812</v>
      </c>
      <c r="BT11" s="61">
        <f t="shared" si="19"/>
        <v>0.4724510588006351</v>
      </c>
      <c r="BU11" s="383">
        <f t="shared" si="20"/>
        <v>0.9449021176012702</v>
      </c>
      <c r="BV11" s="169">
        <v>0.6248778528749858</v>
      </c>
      <c r="BW11" s="166">
        <f t="shared" si="21"/>
        <v>0.9937512214712502</v>
      </c>
      <c r="BX11" s="393">
        <v>10</v>
      </c>
      <c r="BY11" s="166">
        <f t="shared" si="22"/>
        <v>0.16666666666666663</v>
      </c>
      <c r="BZ11" s="394">
        <v>2</v>
      </c>
      <c r="CA11" s="381">
        <v>0</v>
      </c>
      <c r="CB11" s="394">
        <v>4</v>
      </c>
      <c r="CC11" s="28">
        <f t="shared" si="23"/>
        <v>0</v>
      </c>
      <c r="CD11" s="395">
        <v>2</v>
      </c>
      <c r="CE11" s="387">
        <v>0</v>
      </c>
      <c r="CF11" s="73">
        <v>1</v>
      </c>
      <c r="CG11" s="28">
        <f t="shared" si="24"/>
        <v>0</v>
      </c>
      <c r="CH11" s="73"/>
      <c r="CI11" s="48"/>
      <c r="CJ11" s="36">
        <v>1</v>
      </c>
      <c r="CK11" s="28">
        <f t="shared" si="25"/>
        <v>0</v>
      </c>
      <c r="CL11" s="388">
        <f t="shared" si="26"/>
        <v>20</v>
      </c>
      <c r="CM11" s="28">
        <f t="shared" si="27"/>
        <v>0</v>
      </c>
      <c r="CN11" s="74"/>
      <c r="CO11" s="48">
        <f t="shared" si="28"/>
        <v>1</v>
      </c>
      <c r="CP11" s="66"/>
      <c r="CQ11" s="66">
        <f t="shared" si="29"/>
        <v>1</v>
      </c>
      <c r="CR11" s="394">
        <v>2</v>
      </c>
      <c r="CS11" s="38">
        <f t="shared" si="30"/>
        <v>0.33333333333333337</v>
      </c>
      <c r="CT11" s="394">
        <v>2</v>
      </c>
      <c r="CU11" s="381">
        <f t="shared" si="31"/>
        <v>0</v>
      </c>
      <c r="CV11" s="393">
        <v>5</v>
      </c>
      <c r="CW11" s="165">
        <f t="shared" si="32"/>
        <v>0</v>
      </c>
      <c r="CX11" s="393">
        <f>2+3+2+2</f>
        <v>9</v>
      </c>
      <c r="CY11" s="165">
        <f t="shared" si="33"/>
        <v>0.18181818181818177</v>
      </c>
      <c r="CZ11" s="393">
        <v>2</v>
      </c>
      <c r="DA11" s="166">
        <f t="shared" si="34"/>
        <v>0.75</v>
      </c>
      <c r="DB11" s="388">
        <f t="shared" si="35"/>
        <v>20</v>
      </c>
      <c r="DC11" s="165">
        <f t="shared" si="36"/>
        <v>0.2592592592592593</v>
      </c>
      <c r="DD11" s="396">
        <v>0</v>
      </c>
      <c r="DE11" s="69">
        <v>1</v>
      </c>
      <c r="DF11" s="394">
        <v>5</v>
      </c>
      <c r="DG11" s="155">
        <f t="shared" si="37"/>
        <v>0.6428571428571428</v>
      </c>
      <c r="DH11" s="73">
        <v>21</v>
      </c>
      <c r="DI11" s="38">
        <f t="shared" si="38"/>
        <v>0.5333333333333333</v>
      </c>
      <c r="DJ11" s="66">
        <v>1</v>
      </c>
      <c r="DK11" s="69">
        <v>0</v>
      </c>
      <c r="DL11" s="394">
        <v>3</v>
      </c>
      <c r="DM11" s="397">
        <v>0.5</v>
      </c>
      <c r="DN11" s="385">
        <f t="shared" si="39"/>
        <v>30</v>
      </c>
      <c r="DO11" s="390">
        <f t="shared" si="40"/>
        <v>0.5161290322580645</v>
      </c>
      <c r="DP11" s="175">
        <v>415</v>
      </c>
      <c r="DQ11" s="166">
        <f>1-DP11/(2079)*100/100</f>
        <v>0.8003848003848004</v>
      </c>
      <c r="DR11" s="66">
        <v>1</v>
      </c>
      <c r="DS11" s="28">
        <f t="shared" si="41"/>
        <v>0.75</v>
      </c>
      <c r="DT11" s="45">
        <v>1</v>
      </c>
      <c r="DU11" s="28">
        <v>1</v>
      </c>
      <c r="DV11" s="75"/>
      <c r="DW11" s="45">
        <v>1</v>
      </c>
      <c r="DX11" s="28">
        <v>1</v>
      </c>
      <c r="DY11" s="46"/>
      <c r="DZ11" s="45">
        <v>1</v>
      </c>
      <c r="EA11" s="28">
        <v>1</v>
      </c>
      <c r="EB11" s="76"/>
      <c r="EC11" s="45">
        <v>1</v>
      </c>
      <c r="ED11" s="69">
        <v>1</v>
      </c>
      <c r="EE11" s="49"/>
      <c r="EF11" s="49">
        <v>1</v>
      </c>
      <c r="EG11" s="69">
        <v>1</v>
      </c>
      <c r="EH11" s="49"/>
      <c r="EI11" s="49">
        <v>1</v>
      </c>
      <c r="EJ11" s="172">
        <v>1</v>
      </c>
      <c r="EK11" s="75"/>
      <c r="EL11" s="49"/>
      <c r="EM11" s="158"/>
      <c r="EN11" s="176"/>
      <c r="EO11" s="174"/>
      <c r="EP11" s="377">
        <f t="shared" si="42"/>
        <v>23.682864306116073</v>
      </c>
      <c r="EQ11" s="24">
        <f t="shared" si="43"/>
        <v>2</v>
      </c>
      <c r="ER11" s="428">
        <f aca="true" t="shared" si="44" ref="ER11:ER33">ER10</f>
        <v>1.617057655305351</v>
      </c>
      <c r="ES11" s="77" t="s">
        <v>119</v>
      </c>
      <c r="ET11" s="80"/>
      <c r="EU11" s="54">
        <v>23.68286464453358</v>
      </c>
      <c r="EV11" s="54">
        <v>2</v>
      </c>
      <c r="EW11" s="54">
        <v>1.552704073700215</v>
      </c>
      <c r="EX11" s="54" t="s">
        <v>119</v>
      </c>
    </row>
    <row r="12" spans="1:154" s="54" customFormat="1" ht="37.5">
      <c r="A12" s="55">
        <f t="shared" si="0"/>
        <v>3</v>
      </c>
      <c r="B12" s="56" t="s">
        <v>141</v>
      </c>
      <c r="C12" s="57">
        <v>0</v>
      </c>
      <c r="D12" s="158">
        <v>1</v>
      </c>
      <c r="E12" s="57">
        <v>0</v>
      </c>
      <c r="F12" s="158">
        <v>1</v>
      </c>
      <c r="G12" s="189">
        <v>5996</v>
      </c>
      <c r="H12" s="185">
        <v>5301.47</v>
      </c>
      <c r="I12" s="58">
        <f t="shared" si="1"/>
        <v>0.11583222148098728</v>
      </c>
      <c r="J12" s="151">
        <f>100%-I12/20%</f>
        <v>0.4208388925950637</v>
      </c>
      <c r="K12" s="189">
        <v>5301.47</v>
      </c>
      <c r="L12" s="185">
        <v>12662.54291</v>
      </c>
      <c r="M12" s="58">
        <f t="shared" si="2"/>
        <v>0.4186734084678415</v>
      </c>
      <c r="N12" s="59">
        <v>0.5</v>
      </c>
      <c r="O12" s="189">
        <v>5301.47</v>
      </c>
      <c r="P12" s="185">
        <v>5321.31134</v>
      </c>
      <c r="Q12" s="58">
        <f t="shared" si="3"/>
        <v>0.9962713438977243</v>
      </c>
      <c r="R12" s="28">
        <v>1</v>
      </c>
      <c r="S12" s="189">
        <v>5301.47</v>
      </c>
      <c r="T12" s="185">
        <v>4426.03785</v>
      </c>
      <c r="U12" s="61">
        <f t="shared" si="4"/>
        <v>1.197791383550866</v>
      </c>
      <c r="V12" s="155">
        <v>1</v>
      </c>
      <c r="W12" s="189">
        <v>698.2738</v>
      </c>
      <c r="X12" s="185">
        <v>427.549</v>
      </c>
      <c r="Y12" s="61">
        <f t="shared" si="5"/>
        <v>0.6122942032194247</v>
      </c>
      <c r="Z12" s="155">
        <v>0.38</v>
      </c>
      <c r="AA12" s="189">
        <v>427.549</v>
      </c>
      <c r="AB12" s="185">
        <v>3805.97084</v>
      </c>
      <c r="AC12" s="61">
        <f t="shared" si="6"/>
        <v>0.11233638353361634</v>
      </c>
      <c r="AD12" s="181">
        <f t="shared" si="7"/>
        <v>0.8876636164663837</v>
      </c>
      <c r="AE12" s="184">
        <v>7361.07291</v>
      </c>
      <c r="AF12" s="185">
        <v>12662.54291</v>
      </c>
      <c r="AG12" s="185">
        <v>76.82</v>
      </c>
      <c r="AH12" s="58">
        <f t="shared" si="8"/>
        <v>0.5848748588093617</v>
      </c>
      <c r="AI12" s="60">
        <v>0.5</v>
      </c>
      <c r="AJ12" s="195">
        <v>1013.2</v>
      </c>
      <c r="AK12" s="196">
        <v>207.9</v>
      </c>
      <c r="AL12" s="196">
        <f t="shared" si="9"/>
        <v>805.3000000000001</v>
      </c>
      <c r="AM12" s="147">
        <v>0</v>
      </c>
      <c r="AN12" s="66">
        <v>1995.5</v>
      </c>
      <c r="AO12" s="66">
        <v>2082.9</v>
      </c>
      <c r="AP12" s="58">
        <f t="shared" si="10"/>
        <v>0.9580392721686111</v>
      </c>
      <c r="AQ12" s="391">
        <v>1</v>
      </c>
      <c r="AR12" s="434">
        <f t="shared" si="11"/>
        <v>3.3502761714847615</v>
      </c>
      <c r="AS12" s="434">
        <v>12820.82</v>
      </c>
      <c r="AT12" s="66">
        <v>12820.8</v>
      </c>
      <c r="AU12" s="66">
        <v>4831.5</v>
      </c>
      <c r="AV12" s="26">
        <f t="shared" si="12"/>
        <v>0.3768479707226215</v>
      </c>
      <c r="AW12" s="35">
        <v>1</v>
      </c>
      <c r="AX12" s="66">
        <v>1983.28</v>
      </c>
      <c r="AY12" s="66">
        <f t="shared" si="13"/>
        <v>99.38762214983713</v>
      </c>
      <c r="AZ12" s="66">
        <f t="shared" si="14"/>
        <v>41.048949601573014</v>
      </c>
      <c r="BA12" s="35">
        <v>0</v>
      </c>
      <c r="BB12" s="35">
        <v>1</v>
      </c>
      <c r="BC12" s="392">
        <v>1808</v>
      </c>
      <c r="BD12" s="36">
        <f t="shared" si="15"/>
        <v>7091.161504424779</v>
      </c>
      <c r="BE12" s="58">
        <f>BD12/BD40*100%</f>
        <v>1.856848991967912</v>
      </c>
      <c r="BF12" s="35">
        <v>1</v>
      </c>
      <c r="BG12" s="68">
        <f>BD12*100/BD40</f>
        <v>185.6848991967912</v>
      </c>
      <c r="BH12" s="69">
        <f t="shared" si="16"/>
        <v>72.86539163117013</v>
      </c>
      <c r="BI12" s="69">
        <f t="shared" si="17"/>
        <v>11.341171299762886</v>
      </c>
      <c r="BJ12" s="66">
        <f>1454028.89/1000</f>
        <v>1454.0288899999998</v>
      </c>
      <c r="BK12" s="66">
        <f t="shared" si="18"/>
        <v>804.2195188053097</v>
      </c>
      <c r="BL12" s="58">
        <f>BK12/BK40*100%</f>
        <v>1.1930357424357458</v>
      </c>
      <c r="BM12" s="68">
        <v>1</v>
      </c>
      <c r="BN12" s="73">
        <v>497.1</v>
      </c>
      <c r="BO12" s="71">
        <v>151.24</v>
      </c>
      <c r="BP12" s="58">
        <f>BO12/(BN12+BO12)</f>
        <v>0.2332726655767036</v>
      </c>
      <c r="BQ12" s="208">
        <v>1</v>
      </c>
      <c r="BR12" s="38">
        <v>1</v>
      </c>
      <c r="BS12" s="437">
        <f>286.54797+4198.69402</f>
        <v>4485.2419899999995</v>
      </c>
      <c r="BT12" s="438">
        <f t="shared" si="19"/>
        <v>0.3498410387807313</v>
      </c>
      <c r="BU12" s="383">
        <f t="shared" si="20"/>
        <v>0.6996820775614626</v>
      </c>
      <c r="BV12" s="169">
        <v>10.094998544601664</v>
      </c>
      <c r="BW12" s="166">
        <f t="shared" si="21"/>
        <v>0.8990500145539834</v>
      </c>
      <c r="BX12" s="393">
        <v>4</v>
      </c>
      <c r="BY12" s="166">
        <f t="shared" si="22"/>
        <v>0.6666666666666667</v>
      </c>
      <c r="BZ12" s="394">
        <v>0</v>
      </c>
      <c r="CA12" s="381">
        <v>0</v>
      </c>
      <c r="CB12" s="394">
        <v>1</v>
      </c>
      <c r="CC12" s="28">
        <f t="shared" si="23"/>
        <v>0.75</v>
      </c>
      <c r="CD12" s="395">
        <v>0</v>
      </c>
      <c r="CE12" s="387">
        <v>0.5</v>
      </c>
      <c r="CF12" s="73"/>
      <c r="CG12" s="28">
        <f t="shared" si="24"/>
        <v>1</v>
      </c>
      <c r="CH12" s="73"/>
      <c r="CI12" s="48"/>
      <c r="CJ12" s="36"/>
      <c r="CK12" s="28">
        <f t="shared" si="25"/>
        <v>1</v>
      </c>
      <c r="CL12" s="388">
        <f t="shared" si="26"/>
        <v>5</v>
      </c>
      <c r="CM12" s="28">
        <f t="shared" si="27"/>
        <v>0.75</v>
      </c>
      <c r="CN12" s="74"/>
      <c r="CO12" s="48">
        <f t="shared" si="28"/>
        <v>1</v>
      </c>
      <c r="CP12" s="66"/>
      <c r="CQ12" s="66">
        <f t="shared" si="29"/>
        <v>1</v>
      </c>
      <c r="CR12" s="394">
        <v>0</v>
      </c>
      <c r="CS12" s="38">
        <f t="shared" si="30"/>
        <v>1</v>
      </c>
      <c r="CT12" s="394">
        <v>0</v>
      </c>
      <c r="CU12" s="381">
        <f t="shared" si="31"/>
        <v>1</v>
      </c>
      <c r="CV12" s="393"/>
      <c r="CW12" s="165">
        <f t="shared" si="32"/>
        <v>1</v>
      </c>
      <c r="CX12" s="393">
        <v>5</v>
      </c>
      <c r="CY12" s="165">
        <f t="shared" si="33"/>
        <v>0.5454545454545454</v>
      </c>
      <c r="CZ12" s="393">
        <v>8</v>
      </c>
      <c r="DA12" s="166">
        <f t="shared" si="34"/>
        <v>0</v>
      </c>
      <c r="DB12" s="388">
        <f t="shared" si="35"/>
        <v>13</v>
      </c>
      <c r="DC12" s="165">
        <f t="shared" si="36"/>
        <v>0.5185185185185186</v>
      </c>
      <c r="DD12" s="396">
        <v>0</v>
      </c>
      <c r="DE12" s="69">
        <v>0.5</v>
      </c>
      <c r="DF12" s="394">
        <v>2</v>
      </c>
      <c r="DG12" s="155">
        <f t="shared" si="37"/>
        <v>0.8571428571428572</v>
      </c>
      <c r="DH12" s="73">
        <v>2</v>
      </c>
      <c r="DI12" s="38">
        <f t="shared" si="38"/>
        <v>0.9555555555555556</v>
      </c>
      <c r="DJ12" s="66">
        <v>1</v>
      </c>
      <c r="DK12" s="69">
        <v>0</v>
      </c>
      <c r="DL12" s="394">
        <v>1</v>
      </c>
      <c r="DM12" s="397">
        <v>0.5</v>
      </c>
      <c r="DN12" s="385">
        <f t="shared" si="39"/>
        <v>6</v>
      </c>
      <c r="DO12" s="390">
        <f t="shared" si="40"/>
        <v>0.9032258064516129</v>
      </c>
      <c r="DP12" s="175">
        <v>363</v>
      </c>
      <c r="DQ12" s="166">
        <f>1-DP12/(1814)*100/100</f>
        <v>0.7998897464167586</v>
      </c>
      <c r="DR12" s="66">
        <v>0</v>
      </c>
      <c r="DS12" s="28">
        <f t="shared" si="41"/>
        <v>1</v>
      </c>
      <c r="DT12" s="45">
        <v>1</v>
      </c>
      <c r="DU12" s="28">
        <v>1</v>
      </c>
      <c r="DV12" s="75"/>
      <c r="DW12" s="45">
        <v>1</v>
      </c>
      <c r="DX12" s="28">
        <v>1</v>
      </c>
      <c r="DY12" s="46"/>
      <c r="DZ12" s="45">
        <v>1</v>
      </c>
      <c r="EA12" s="28">
        <v>1</v>
      </c>
      <c r="EB12" s="76"/>
      <c r="EC12" s="45">
        <v>1</v>
      </c>
      <c r="ED12" s="69">
        <v>1</v>
      </c>
      <c r="EE12" s="49"/>
      <c r="EF12" s="49">
        <v>1</v>
      </c>
      <c r="EG12" s="69">
        <v>1</v>
      </c>
      <c r="EH12" s="49"/>
      <c r="EI12" s="49">
        <v>1</v>
      </c>
      <c r="EJ12" s="172">
        <v>1</v>
      </c>
      <c r="EK12" s="75"/>
      <c r="EL12" s="49"/>
      <c r="EM12" s="158"/>
      <c r="EN12" s="176"/>
      <c r="EO12" s="174"/>
      <c r="EP12" s="377">
        <f t="shared" si="42"/>
        <v>24.258868672563786</v>
      </c>
      <c r="EQ12" s="24">
        <f t="shared" si="43"/>
        <v>3</v>
      </c>
      <c r="ER12" s="428">
        <f t="shared" si="44"/>
        <v>1.617057655305351</v>
      </c>
      <c r="ES12" s="77" t="s">
        <v>119</v>
      </c>
      <c r="ET12" s="80"/>
      <c r="EU12" s="54">
        <v>23.403887077031523</v>
      </c>
      <c r="EV12" s="54">
        <v>3</v>
      </c>
      <c r="EW12" s="54">
        <v>1.552704073700215</v>
      </c>
      <c r="EX12" s="54" t="s">
        <v>119</v>
      </c>
    </row>
    <row r="13" spans="1:154" s="54" customFormat="1" ht="18.75">
      <c r="A13" s="55">
        <f t="shared" si="0"/>
        <v>4</v>
      </c>
      <c r="B13" s="56" t="s">
        <v>129</v>
      </c>
      <c r="C13" s="57">
        <v>0</v>
      </c>
      <c r="D13" s="158">
        <v>1</v>
      </c>
      <c r="E13" s="57">
        <v>0</v>
      </c>
      <c r="F13" s="158">
        <v>1</v>
      </c>
      <c r="G13" s="189">
        <v>6275</v>
      </c>
      <c r="H13" s="185">
        <v>5428.92876</v>
      </c>
      <c r="I13" s="58">
        <f t="shared" si="1"/>
        <v>0.13483207011952195</v>
      </c>
      <c r="J13" s="151">
        <v>0.3</v>
      </c>
      <c r="K13" s="189">
        <v>5428.92876</v>
      </c>
      <c r="L13" s="185">
        <v>15077.94724</v>
      </c>
      <c r="M13" s="58">
        <f t="shared" si="2"/>
        <v>0.36005755117630983</v>
      </c>
      <c r="N13" s="59">
        <v>0.5</v>
      </c>
      <c r="O13" s="189">
        <v>5428.92876</v>
      </c>
      <c r="P13" s="185">
        <v>4726.30064</v>
      </c>
      <c r="Q13" s="58">
        <f t="shared" si="3"/>
        <v>1.1486634417737758</v>
      </c>
      <c r="R13" s="28">
        <v>1</v>
      </c>
      <c r="S13" s="189">
        <v>5428.92876</v>
      </c>
      <c r="T13" s="185">
        <v>3191.11332</v>
      </c>
      <c r="U13" s="61">
        <f t="shared" si="4"/>
        <v>1.7012647987066782</v>
      </c>
      <c r="V13" s="155">
        <v>1</v>
      </c>
      <c r="W13" s="189">
        <v>377.3116</v>
      </c>
      <c r="X13" s="185">
        <v>424.1497</v>
      </c>
      <c r="Y13" s="61">
        <f t="shared" si="5"/>
        <v>1.1241363901878447</v>
      </c>
      <c r="Z13" s="155">
        <v>0</v>
      </c>
      <c r="AA13" s="189">
        <v>424.1497</v>
      </c>
      <c r="AB13" s="185">
        <v>4601.91146</v>
      </c>
      <c r="AC13" s="61">
        <f t="shared" si="6"/>
        <v>0.09216815744647117</v>
      </c>
      <c r="AD13" s="181">
        <f t="shared" si="7"/>
        <v>0.9078318425535288</v>
      </c>
      <c r="AE13" s="184">
        <v>9649.01848</v>
      </c>
      <c r="AF13" s="185">
        <v>15077.94724</v>
      </c>
      <c r="AG13" s="185">
        <v>230</v>
      </c>
      <c r="AH13" s="58">
        <f t="shared" si="8"/>
        <v>0.649855385666093</v>
      </c>
      <c r="AI13" s="60">
        <v>0.5</v>
      </c>
      <c r="AJ13" s="195">
        <v>7.5</v>
      </c>
      <c r="AK13" s="196">
        <v>438.4</v>
      </c>
      <c r="AL13" s="196">
        <f t="shared" si="9"/>
        <v>-430.9</v>
      </c>
      <c r="AM13" s="147">
        <v>1</v>
      </c>
      <c r="AN13" s="66">
        <v>2301.6</v>
      </c>
      <c r="AO13" s="66">
        <v>3100.6</v>
      </c>
      <c r="AP13" s="58">
        <f t="shared" si="10"/>
        <v>0.7423079403986325</v>
      </c>
      <c r="AQ13" s="391">
        <v>1</v>
      </c>
      <c r="AR13" s="434">
        <f t="shared" si="11"/>
        <v>3.628237668708674</v>
      </c>
      <c r="AS13" s="434">
        <v>13884.46</v>
      </c>
      <c r="AT13" s="66">
        <v>13884.5</v>
      </c>
      <c r="AU13" s="66">
        <v>6503.8</v>
      </c>
      <c r="AV13" s="26">
        <f t="shared" si="12"/>
        <v>0.46842297071690225</v>
      </c>
      <c r="AW13" s="35">
        <v>1</v>
      </c>
      <c r="AX13" s="66">
        <v>2258.79</v>
      </c>
      <c r="AY13" s="66">
        <f t="shared" si="13"/>
        <v>98.13998957247132</v>
      </c>
      <c r="AZ13" s="66">
        <f t="shared" si="14"/>
        <v>34.73031151019404</v>
      </c>
      <c r="BA13" s="35">
        <v>0</v>
      </c>
      <c r="BB13" s="35">
        <v>1</v>
      </c>
      <c r="BC13" s="392">
        <v>4353</v>
      </c>
      <c r="BD13" s="36">
        <f t="shared" si="15"/>
        <v>3189.6301401332416</v>
      </c>
      <c r="BE13" s="58">
        <f>BD13/BD43*100%</f>
        <v>0.8352174050416462</v>
      </c>
      <c r="BF13" s="35">
        <v>0.8</v>
      </c>
      <c r="BG13" s="68">
        <f>BD13*100/BD40</f>
        <v>83.52174050416463</v>
      </c>
      <c r="BH13" s="69">
        <f t="shared" si="16"/>
        <v>158.001913451512</v>
      </c>
      <c r="BI13" s="69">
        <f t="shared" si="17"/>
        <v>26.191595232093345</v>
      </c>
      <c r="BJ13" s="66">
        <f>3636572.04/1000</f>
        <v>3636.57204</v>
      </c>
      <c r="BK13" s="66">
        <f t="shared" si="18"/>
        <v>835.4174224672639</v>
      </c>
      <c r="BL13" s="58">
        <f>BK13/BK43*100%</f>
        <v>1.2393169048391033</v>
      </c>
      <c r="BM13" s="68">
        <v>1</v>
      </c>
      <c r="BN13" s="73">
        <v>1246.7</v>
      </c>
      <c r="BO13" s="71">
        <v>128.08</v>
      </c>
      <c r="BP13" s="58">
        <f>BO13/(BN13+BO13)</f>
        <v>0.0931639971486347</v>
      </c>
      <c r="BQ13" s="208">
        <v>1</v>
      </c>
      <c r="BR13" s="38">
        <v>1</v>
      </c>
      <c r="BS13" s="66">
        <v>606.49</v>
      </c>
      <c r="BT13" s="61">
        <f t="shared" si="19"/>
        <v>0.043681083222298245</v>
      </c>
      <c r="BU13" s="383">
        <f t="shared" si="20"/>
        <v>0.08736216644459649</v>
      </c>
      <c r="BV13" s="169">
        <v>0</v>
      </c>
      <c r="BW13" s="166">
        <f t="shared" si="21"/>
        <v>1</v>
      </c>
      <c r="BX13" s="393">
        <f>3+2+2</f>
        <v>7</v>
      </c>
      <c r="BY13" s="166">
        <f t="shared" si="22"/>
        <v>0.41666666666666663</v>
      </c>
      <c r="BZ13" s="394">
        <v>0</v>
      </c>
      <c r="CA13" s="381">
        <v>1</v>
      </c>
      <c r="CB13" s="394">
        <v>1</v>
      </c>
      <c r="CC13" s="28">
        <f t="shared" si="23"/>
        <v>0.75</v>
      </c>
      <c r="CD13" s="395">
        <v>0</v>
      </c>
      <c r="CE13" s="387">
        <f>1-CD13/1</f>
        <v>1</v>
      </c>
      <c r="CF13" s="73">
        <v>1</v>
      </c>
      <c r="CG13" s="28">
        <f t="shared" si="24"/>
        <v>0</v>
      </c>
      <c r="CH13" s="73"/>
      <c r="CI13" s="48"/>
      <c r="CJ13" s="36">
        <v>1</v>
      </c>
      <c r="CK13" s="28">
        <f t="shared" si="25"/>
        <v>0</v>
      </c>
      <c r="CL13" s="388">
        <f t="shared" si="26"/>
        <v>10</v>
      </c>
      <c r="CM13" s="28">
        <f t="shared" si="27"/>
        <v>0.5</v>
      </c>
      <c r="CN13" s="74"/>
      <c r="CO13" s="48">
        <f t="shared" si="28"/>
        <v>1</v>
      </c>
      <c r="CP13" s="66"/>
      <c r="CQ13" s="66">
        <f t="shared" si="29"/>
        <v>1</v>
      </c>
      <c r="CR13" s="394">
        <v>0</v>
      </c>
      <c r="CS13" s="38">
        <f t="shared" si="30"/>
        <v>1</v>
      </c>
      <c r="CT13" s="394">
        <v>0</v>
      </c>
      <c r="CU13" s="381">
        <f t="shared" si="31"/>
        <v>1</v>
      </c>
      <c r="CV13" s="393">
        <v>3</v>
      </c>
      <c r="CW13" s="165">
        <f t="shared" si="32"/>
        <v>0.4</v>
      </c>
      <c r="CX13" s="393">
        <f>4+2+1+3</f>
        <v>10</v>
      </c>
      <c r="CY13" s="165">
        <f t="shared" si="33"/>
        <v>0.09090909090909094</v>
      </c>
      <c r="CZ13" s="393">
        <v>6</v>
      </c>
      <c r="DA13" s="166">
        <f t="shared" si="34"/>
        <v>0.25</v>
      </c>
      <c r="DB13" s="388">
        <f t="shared" si="35"/>
        <v>19</v>
      </c>
      <c r="DC13" s="165">
        <f t="shared" si="36"/>
        <v>0.2962962962962963</v>
      </c>
      <c r="DD13" s="396">
        <v>1</v>
      </c>
      <c r="DE13" s="69">
        <v>0.5</v>
      </c>
      <c r="DF13" s="394">
        <v>3</v>
      </c>
      <c r="DG13" s="155">
        <f t="shared" si="37"/>
        <v>0.7857142857142857</v>
      </c>
      <c r="DH13" s="73">
        <v>7</v>
      </c>
      <c r="DI13" s="38">
        <f t="shared" si="38"/>
        <v>0.8444444444444444</v>
      </c>
      <c r="DJ13" s="66">
        <v>1</v>
      </c>
      <c r="DK13" s="69">
        <v>0</v>
      </c>
      <c r="DL13" s="394">
        <v>5</v>
      </c>
      <c r="DM13" s="397">
        <v>0.16</v>
      </c>
      <c r="DN13" s="385">
        <f t="shared" si="39"/>
        <v>17</v>
      </c>
      <c r="DO13" s="390">
        <f t="shared" si="40"/>
        <v>0.7258064516129032</v>
      </c>
      <c r="DP13" s="175">
        <v>98</v>
      </c>
      <c r="DQ13" s="166">
        <f>1-DP13/(977)*100/100</f>
        <v>0.8996929375639713</v>
      </c>
      <c r="DR13" s="66">
        <v>1</v>
      </c>
      <c r="DS13" s="28">
        <f t="shared" si="41"/>
        <v>0.75</v>
      </c>
      <c r="DT13" s="45">
        <v>1</v>
      </c>
      <c r="DU13" s="28">
        <v>1</v>
      </c>
      <c r="DV13" s="75"/>
      <c r="DW13" s="45">
        <v>1</v>
      </c>
      <c r="DX13" s="28">
        <v>1</v>
      </c>
      <c r="DY13" s="46"/>
      <c r="DZ13" s="45">
        <v>1</v>
      </c>
      <c r="EA13" s="28">
        <v>1</v>
      </c>
      <c r="EB13" s="76"/>
      <c r="EC13" s="45">
        <v>1</v>
      </c>
      <c r="ED13" s="69">
        <v>1</v>
      </c>
      <c r="EE13" s="49"/>
      <c r="EF13" s="49">
        <v>1</v>
      </c>
      <c r="EG13" s="69">
        <v>1</v>
      </c>
      <c r="EH13" s="49"/>
      <c r="EI13" s="49">
        <v>1</v>
      </c>
      <c r="EJ13" s="172">
        <v>1</v>
      </c>
      <c r="EK13" s="75"/>
      <c r="EL13" s="49"/>
      <c r="EM13" s="158"/>
      <c r="EN13" s="176"/>
      <c r="EO13" s="174"/>
      <c r="EP13" s="426">
        <f t="shared" si="42"/>
        <v>23.266989694471295</v>
      </c>
      <c r="EQ13" s="427">
        <f t="shared" si="43"/>
        <v>4</v>
      </c>
      <c r="ER13" s="430">
        <f t="shared" si="44"/>
        <v>1.617057655305351</v>
      </c>
      <c r="ES13" s="53" t="s">
        <v>117</v>
      </c>
      <c r="ET13" s="80"/>
      <c r="EU13" s="54">
        <v>23.200326869018454</v>
      </c>
      <c r="EV13" s="54">
        <v>4</v>
      </c>
      <c r="EW13" s="54">
        <v>1.552704073700215</v>
      </c>
      <c r="EX13" s="54" t="s">
        <v>117</v>
      </c>
    </row>
    <row r="14" spans="1:154" s="54" customFormat="1" ht="18.75">
      <c r="A14" s="55">
        <f t="shared" si="0"/>
        <v>5</v>
      </c>
      <c r="B14" s="56" t="s">
        <v>138</v>
      </c>
      <c r="C14" s="57">
        <v>0</v>
      </c>
      <c r="D14" s="158">
        <v>1</v>
      </c>
      <c r="E14" s="57">
        <v>0</v>
      </c>
      <c r="F14" s="158">
        <v>1</v>
      </c>
      <c r="G14" s="189">
        <v>12568.38899</v>
      </c>
      <c r="H14" s="185">
        <v>11657.67713</v>
      </c>
      <c r="I14" s="58">
        <f t="shared" si="1"/>
        <v>0.07246050871950292</v>
      </c>
      <c r="J14" s="151">
        <v>0.6</v>
      </c>
      <c r="K14" s="189">
        <v>11657.67713</v>
      </c>
      <c r="L14" s="185">
        <v>21190.48263</v>
      </c>
      <c r="M14" s="58">
        <f t="shared" si="2"/>
        <v>0.5501374052470083</v>
      </c>
      <c r="N14" s="59">
        <v>0.8</v>
      </c>
      <c r="O14" s="189">
        <v>11657.67713</v>
      </c>
      <c r="P14" s="185">
        <v>11656.91753</v>
      </c>
      <c r="Q14" s="58">
        <f t="shared" si="3"/>
        <v>1.0000651630242767</v>
      </c>
      <c r="R14" s="28">
        <v>1</v>
      </c>
      <c r="S14" s="189">
        <v>11657.67713</v>
      </c>
      <c r="T14" s="185">
        <v>9693.1637</v>
      </c>
      <c r="U14" s="61">
        <f t="shared" si="4"/>
        <v>1.202669994111417</v>
      </c>
      <c r="V14" s="155">
        <v>1</v>
      </c>
      <c r="W14" s="189">
        <v>392.6098</v>
      </c>
      <c r="X14" s="185">
        <v>590.8915</v>
      </c>
      <c r="Y14" s="61">
        <f t="shared" si="5"/>
        <v>1.5050350245969406</v>
      </c>
      <c r="Z14" s="155">
        <v>0</v>
      </c>
      <c r="AA14" s="189">
        <v>590.8915</v>
      </c>
      <c r="AB14" s="185">
        <v>10493.04935</v>
      </c>
      <c r="AC14" s="61">
        <f t="shared" si="6"/>
        <v>0.05631265805492471</v>
      </c>
      <c r="AD14" s="181">
        <f t="shared" si="7"/>
        <v>0.9436873419450753</v>
      </c>
      <c r="AE14" s="184">
        <v>9532.8055</v>
      </c>
      <c r="AF14" s="185">
        <v>21190.48263</v>
      </c>
      <c r="AG14" s="185">
        <v>302.91</v>
      </c>
      <c r="AH14" s="58">
        <f t="shared" si="8"/>
        <v>0.45638646811015304</v>
      </c>
      <c r="AI14" s="60">
        <v>0.8</v>
      </c>
      <c r="AJ14" s="195">
        <v>8191.7</v>
      </c>
      <c r="AK14" s="196">
        <v>238.1</v>
      </c>
      <c r="AL14" s="196">
        <f t="shared" si="9"/>
        <v>7953.599999999999</v>
      </c>
      <c r="AM14" s="147">
        <v>0</v>
      </c>
      <c r="AN14" s="66">
        <v>3403.3</v>
      </c>
      <c r="AO14" s="66">
        <v>3407.8</v>
      </c>
      <c r="AP14" s="58">
        <f t="shared" si="10"/>
        <v>0.9986794999706555</v>
      </c>
      <c r="AQ14" s="391">
        <v>1</v>
      </c>
      <c r="AR14" s="434">
        <f t="shared" si="11"/>
        <v>7.129475913095809</v>
      </c>
      <c r="AS14" s="434">
        <v>27282.98</v>
      </c>
      <c r="AT14" s="66">
        <v>27283</v>
      </c>
      <c r="AU14" s="66">
        <v>7418.9</v>
      </c>
      <c r="AV14" s="26">
        <f t="shared" si="12"/>
        <v>0.27192410799700034</v>
      </c>
      <c r="AW14" s="35">
        <v>1</v>
      </c>
      <c r="AX14" s="66">
        <v>3389.12</v>
      </c>
      <c r="AY14" s="66">
        <f t="shared" si="13"/>
        <v>99.58334557635236</v>
      </c>
      <c r="AZ14" s="66">
        <f t="shared" si="14"/>
        <v>45.68224399843643</v>
      </c>
      <c r="BA14" s="35">
        <v>0</v>
      </c>
      <c r="BB14" s="35">
        <v>1</v>
      </c>
      <c r="BC14" s="392">
        <v>5618</v>
      </c>
      <c r="BD14" s="36">
        <f t="shared" si="15"/>
        <v>4856.351014595942</v>
      </c>
      <c r="BE14" s="58">
        <f>BD14/BD43*100%</f>
        <v>1.2716549299389148</v>
      </c>
      <c r="BF14" s="35">
        <v>1</v>
      </c>
      <c r="BG14" s="68">
        <f>BD14*100/BD41</f>
        <v>127.16549299389146</v>
      </c>
      <c r="BH14" s="69">
        <f t="shared" si="16"/>
        <v>92.41219345928951</v>
      </c>
      <c r="BI14" s="69">
        <f t="shared" si="17"/>
        <v>11.527559945753767</v>
      </c>
      <c r="BJ14" s="66">
        <f>3145064.18/1000</f>
        <v>3145.0641800000003</v>
      </c>
      <c r="BK14" s="66">
        <f t="shared" si="18"/>
        <v>559.819184763261</v>
      </c>
      <c r="BL14" s="58">
        <f>BK14/BK43*100%</f>
        <v>0.8304751142026142</v>
      </c>
      <c r="BM14" s="68">
        <v>0</v>
      </c>
      <c r="BN14" s="73">
        <v>0</v>
      </c>
      <c r="BO14" s="71">
        <v>0</v>
      </c>
      <c r="BP14" s="58"/>
      <c r="BQ14" s="208"/>
      <c r="BR14" s="38">
        <v>1</v>
      </c>
      <c r="BS14" s="437">
        <f>5148.05973+6986.26</f>
        <v>12134.31973</v>
      </c>
      <c r="BT14" s="438">
        <f t="shared" si="19"/>
        <v>0.44475753142982805</v>
      </c>
      <c r="BU14" s="383">
        <f t="shared" si="20"/>
        <v>0.8895150628596561</v>
      </c>
      <c r="BV14" s="169">
        <v>18.75948643022452</v>
      </c>
      <c r="BW14" s="166">
        <f t="shared" si="21"/>
        <v>0.8124051356977549</v>
      </c>
      <c r="BX14" s="393">
        <v>6</v>
      </c>
      <c r="BY14" s="166">
        <f t="shared" si="22"/>
        <v>0.5</v>
      </c>
      <c r="BZ14" s="394">
        <v>0</v>
      </c>
      <c r="CA14" s="381">
        <f>1-BZ14/1</f>
        <v>1</v>
      </c>
      <c r="CB14" s="394">
        <v>1</v>
      </c>
      <c r="CC14" s="28">
        <f t="shared" si="23"/>
        <v>0.75</v>
      </c>
      <c r="CD14" s="395">
        <v>1</v>
      </c>
      <c r="CE14" s="387">
        <v>0.5</v>
      </c>
      <c r="CF14" s="73"/>
      <c r="CG14" s="28">
        <f t="shared" si="24"/>
        <v>1</v>
      </c>
      <c r="CH14" s="73"/>
      <c r="CI14" s="48"/>
      <c r="CJ14" s="36"/>
      <c r="CK14" s="28">
        <f t="shared" si="25"/>
        <v>1</v>
      </c>
      <c r="CL14" s="388">
        <f t="shared" si="26"/>
        <v>8</v>
      </c>
      <c r="CM14" s="28">
        <f t="shared" si="27"/>
        <v>0.6</v>
      </c>
      <c r="CN14" s="74"/>
      <c r="CO14" s="48">
        <f t="shared" si="28"/>
        <v>1</v>
      </c>
      <c r="CP14" s="66"/>
      <c r="CQ14" s="66">
        <f t="shared" si="29"/>
        <v>1</v>
      </c>
      <c r="CR14" s="394">
        <v>0</v>
      </c>
      <c r="CS14" s="38">
        <f t="shared" si="30"/>
        <v>1</v>
      </c>
      <c r="CT14" s="394">
        <v>0</v>
      </c>
      <c r="CU14" s="381">
        <f t="shared" si="31"/>
        <v>1</v>
      </c>
      <c r="CV14" s="393">
        <v>1</v>
      </c>
      <c r="CW14" s="165">
        <f t="shared" si="32"/>
        <v>0.8</v>
      </c>
      <c r="CX14" s="393">
        <f>3+3+1+2</f>
        <v>9</v>
      </c>
      <c r="CY14" s="165">
        <f t="shared" si="33"/>
        <v>0.18181818181818177</v>
      </c>
      <c r="CZ14" s="393">
        <v>0</v>
      </c>
      <c r="DA14" s="166">
        <f t="shared" si="34"/>
        <v>1</v>
      </c>
      <c r="DB14" s="388">
        <f t="shared" si="35"/>
        <v>10</v>
      </c>
      <c r="DC14" s="165">
        <f t="shared" si="36"/>
        <v>0.6296296296296297</v>
      </c>
      <c r="DD14" s="396">
        <v>0</v>
      </c>
      <c r="DE14" s="69">
        <v>1</v>
      </c>
      <c r="DF14" s="394">
        <v>1</v>
      </c>
      <c r="DG14" s="155">
        <f t="shared" si="37"/>
        <v>0.9285714285714286</v>
      </c>
      <c r="DH14" s="73">
        <v>3</v>
      </c>
      <c r="DI14" s="38">
        <f t="shared" si="38"/>
        <v>0.9333333333333333</v>
      </c>
      <c r="DJ14" s="66">
        <v>1</v>
      </c>
      <c r="DK14" s="69">
        <v>0</v>
      </c>
      <c r="DL14" s="394">
        <v>1</v>
      </c>
      <c r="DM14" s="397">
        <v>0.8333333333333334</v>
      </c>
      <c r="DN14" s="385">
        <f t="shared" si="39"/>
        <v>6</v>
      </c>
      <c r="DO14" s="390">
        <f t="shared" si="40"/>
        <v>0.9032258064516129</v>
      </c>
      <c r="DP14" s="175">
        <v>426</v>
      </c>
      <c r="DQ14" s="166">
        <f>1-DP14/(2128)*100/100</f>
        <v>0.799812030075188</v>
      </c>
      <c r="DR14" s="66">
        <v>0</v>
      </c>
      <c r="DS14" s="28">
        <f t="shared" si="41"/>
        <v>1</v>
      </c>
      <c r="DT14" s="45">
        <v>1</v>
      </c>
      <c r="DU14" s="28">
        <v>1</v>
      </c>
      <c r="DV14" s="75"/>
      <c r="DW14" s="45">
        <v>1</v>
      </c>
      <c r="DX14" s="28">
        <v>1</v>
      </c>
      <c r="DY14" s="46"/>
      <c r="DZ14" s="45">
        <v>1</v>
      </c>
      <c r="EA14" s="28">
        <v>1</v>
      </c>
      <c r="EB14" s="76"/>
      <c r="EC14" s="45">
        <v>1</v>
      </c>
      <c r="ED14" s="69">
        <v>1</v>
      </c>
      <c r="EE14" s="49"/>
      <c r="EF14" s="49">
        <v>1</v>
      </c>
      <c r="EG14" s="69">
        <v>1</v>
      </c>
      <c r="EH14" s="49"/>
      <c r="EI14" s="49">
        <v>1</v>
      </c>
      <c r="EJ14" s="172">
        <v>1</v>
      </c>
      <c r="EK14" s="75"/>
      <c r="EL14" s="49"/>
      <c r="EM14" s="158"/>
      <c r="EN14" s="176"/>
      <c r="EO14" s="174"/>
      <c r="EP14" s="426">
        <f t="shared" si="42"/>
        <v>23.778275006658916</v>
      </c>
      <c r="EQ14" s="427">
        <f t="shared" si="43"/>
        <v>5</v>
      </c>
      <c r="ER14" s="430">
        <f t="shared" si="44"/>
        <v>1.617057655305351</v>
      </c>
      <c r="ES14" s="53" t="s">
        <v>117</v>
      </c>
      <c r="ET14" s="80"/>
      <c r="EU14" s="54">
        <v>23.126098926315844</v>
      </c>
      <c r="EV14" s="54">
        <v>5</v>
      </c>
      <c r="EW14" s="54">
        <v>1.552704073700215</v>
      </c>
      <c r="EX14" s="54" t="s">
        <v>117</v>
      </c>
    </row>
    <row r="15" spans="1:154" s="54" customFormat="1" ht="18.75">
      <c r="A15" s="55">
        <f t="shared" si="0"/>
        <v>6</v>
      </c>
      <c r="B15" s="56" t="s">
        <v>126</v>
      </c>
      <c r="C15" s="57">
        <v>0</v>
      </c>
      <c r="D15" s="158">
        <v>1</v>
      </c>
      <c r="E15" s="57">
        <v>0</v>
      </c>
      <c r="F15" s="158">
        <v>1</v>
      </c>
      <c r="G15" s="189">
        <v>9138.9</v>
      </c>
      <c r="H15" s="185">
        <v>10106.00717</v>
      </c>
      <c r="I15" s="58">
        <f t="shared" si="1"/>
        <v>-0.10582314830012378</v>
      </c>
      <c r="J15" s="78">
        <f>100%+I15/20%</f>
        <v>0.4708842584993811</v>
      </c>
      <c r="K15" s="189">
        <v>10106.00717</v>
      </c>
      <c r="L15" s="185">
        <v>17160.13408</v>
      </c>
      <c r="M15" s="58">
        <f t="shared" si="2"/>
        <v>0.5889235551940396</v>
      </c>
      <c r="N15" s="59">
        <v>0.8</v>
      </c>
      <c r="O15" s="189">
        <v>10106.00717</v>
      </c>
      <c r="P15" s="185">
        <v>10197.46602</v>
      </c>
      <c r="Q15" s="58">
        <f t="shared" si="3"/>
        <v>0.9910312179691873</v>
      </c>
      <c r="R15" s="28">
        <f>Q15/95%</f>
        <v>1.0431907557570392</v>
      </c>
      <c r="S15" s="189">
        <v>10106.00717</v>
      </c>
      <c r="T15" s="185">
        <v>7335.46107</v>
      </c>
      <c r="U15" s="61">
        <f t="shared" si="4"/>
        <v>1.3776921550754</v>
      </c>
      <c r="V15" s="155">
        <v>1</v>
      </c>
      <c r="W15" s="189">
        <v>2086.5532</v>
      </c>
      <c r="X15" s="185">
        <v>2015.3319</v>
      </c>
      <c r="Y15" s="61">
        <f t="shared" si="5"/>
        <v>0.9658665305059081</v>
      </c>
      <c r="Z15" s="155">
        <v>0.03</v>
      </c>
      <c r="AA15" s="189">
        <v>2015.3319</v>
      </c>
      <c r="AB15" s="185">
        <v>9506.14031</v>
      </c>
      <c r="AC15" s="61">
        <f t="shared" si="6"/>
        <v>0.21200317208446504</v>
      </c>
      <c r="AD15" s="181">
        <f t="shared" si="7"/>
        <v>0.7879968279155349</v>
      </c>
      <c r="AE15" s="184">
        <v>7054.12691</v>
      </c>
      <c r="AF15" s="185">
        <v>17160.13408</v>
      </c>
      <c r="AG15" s="185">
        <v>302.45</v>
      </c>
      <c r="AH15" s="58">
        <f t="shared" si="8"/>
        <v>0.41845172068261943</v>
      </c>
      <c r="AI15" s="60">
        <v>0.8</v>
      </c>
      <c r="AJ15" s="195">
        <v>775.2</v>
      </c>
      <c r="AK15" s="196">
        <v>434.7</v>
      </c>
      <c r="AL15" s="196">
        <f t="shared" si="9"/>
        <v>340.50000000000006</v>
      </c>
      <c r="AM15" s="147">
        <v>0</v>
      </c>
      <c r="AN15" s="66">
        <v>2956.6</v>
      </c>
      <c r="AO15" s="66">
        <v>3292.7</v>
      </c>
      <c r="AP15" s="58">
        <f t="shared" si="10"/>
        <v>0.8979257144592584</v>
      </c>
      <c r="AQ15" s="391">
        <v>1</v>
      </c>
      <c r="AR15" s="434">
        <f t="shared" si="11"/>
        <v>4.617578863114741</v>
      </c>
      <c r="AS15" s="434">
        <v>17670.52</v>
      </c>
      <c r="AT15" s="66">
        <v>17670.5</v>
      </c>
      <c r="AU15" s="66">
        <v>6082.9</v>
      </c>
      <c r="AV15" s="26">
        <f t="shared" si="12"/>
        <v>0.34424001104664714</v>
      </c>
      <c r="AW15" s="35">
        <v>1</v>
      </c>
      <c r="AX15" s="66">
        <v>2883.66</v>
      </c>
      <c r="AY15" s="66">
        <f t="shared" si="13"/>
        <v>97.53297706825408</v>
      </c>
      <c r="AZ15" s="66">
        <f t="shared" si="14"/>
        <v>47.40600700323859</v>
      </c>
      <c r="BA15" s="35">
        <v>0</v>
      </c>
      <c r="BB15" s="35">
        <v>1</v>
      </c>
      <c r="BC15" s="392">
        <v>5321</v>
      </c>
      <c r="BD15" s="36">
        <f t="shared" si="15"/>
        <v>3320.902086074046</v>
      </c>
      <c r="BE15" s="58">
        <f>BD15/BD50*100%</f>
        <v>0.8695914889405606</v>
      </c>
      <c r="BF15" s="35">
        <v>0.8</v>
      </c>
      <c r="BG15" s="68">
        <f>BD15*100/BD46</f>
        <v>86.95914889405606</v>
      </c>
      <c r="BH15" s="69">
        <f t="shared" si="16"/>
        <v>57.14703713725225</v>
      </c>
      <c r="BI15" s="69">
        <f t="shared" si="17"/>
        <v>9.561751506748536</v>
      </c>
      <c r="BJ15" s="66">
        <f>1689609.3/1000</f>
        <v>1689.6093</v>
      </c>
      <c r="BK15" s="66">
        <f t="shared" si="18"/>
        <v>317.5360458560421</v>
      </c>
      <c r="BL15" s="58">
        <f>BK15/BK50*100%</f>
        <v>0.4710552819965616</v>
      </c>
      <c r="BM15" s="68">
        <v>0</v>
      </c>
      <c r="BN15" s="73">
        <v>0</v>
      </c>
      <c r="BO15" s="71">
        <v>0</v>
      </c>
      <c r="BP15" s="58"/>
      <c r="BQ15" s="208"/>
      <c r="BR15" s="38">
        <v>1</v>
      </c>
      <c r="BS15" s="66">
        <v>3432.498</v>
      </c>
      <c r="BT15" s="61">
        <f t="shared" si="19"/>
        <v>0.19425019099629326</v>
      </c>
      <c r="BU15" s="383">
        <f t="shared" si="20"/>
        <v>0.3885003819925865</v>
      </c>
      <c r="BV15" s="169">
        <v>1.3370342818605623</v>
      </c>
      <c r="BW15" s="166">
        <f t="shared" si="21"/>
        <v>0.9866296571813944</v>
      </c>
      <c r="BX15" s="393">
        <f>2+2+1</f>
        <v>5</v>
      </c>
      <c r="BY15" s="166">
        <f t="shared" si="22"/>
        <v>0.5833333333333333</v>
      </c>
      <c r="BZ15" s="394">
        <v>1</v>
      </c>
      <c r="CA15" s="381">
        <v>0</v>
      </c>
      <c r="CB15" s="394">
        <v>2</v>
      </c>
      <c r="CC15" s="28">
        <f t="shared" si="23"/>
        <v>0.5</v>
      </c>
      <c r="CD15" s="395">
        <v>1</v>
      </c>
      <c r="CE15" s="387">
        <v>0.5</v>
      </c>
      <c r="CF15" s="73"/>
      <c r="CG15" s="28">
        <f t="shared" si="24"/>
        <v>1</v>
      </c>
      <c r="CH15" s="73"/>
      <c r="CI15" s="48"/>
      <c r="CJ15" s="36"/>
      <c r="CK15" s="28">
        <f t="shared" si="25"/>
        <v>1</v>
      </c>
      <c r="CL15" s="388">
        <f t="shared" si="26"/>
        <v>9</v>
      </c>
      <c r="CM15" s="28">
        <f t="shared" si="27"/>
        <v>0.55</v>
      </c>
      <c r="CN15" s="74"/>
      <c r="CO15" s="48">
        <f t="shared" si="28"/>
        <v>1</v>
      </c>
      <c r="CP15" s="66"/>
      <c r="CQ15" s="66">
        <f t="shared" si="29"/>
        <v>1</v>
      </c>
      <c r="CR15" s="394">
        <v>2</v>
      </c>
      <c r="CS15" s="38">
        <f t="shared" si="30"/>
        <v>0.33333333333333337</v>
      </c>
      <c r="CT15" s="394">
        <v>0</v>
      </c>
      <c r="CU15" s="381">
        <f t="shared" si="31"/>
        <v>1</v>
      </c>
      <c r="CV15" s="393">
        <v>1</v>
      </c>
      <c r="CW15" s="165">
        <f t="shared" si="32"/>
        <v>0.8</v>
      </c>
      <c r="CX15" s="393">
        <f>3+3+1+1</f>
        <v>8</v>
      </c>
      <c r="CY15" s="165">
        <f t="shared" si="33"/>
        <v>0.2727272727272727</v>
      </c>
      <c r="CZ15" s="393">
        <v>1</v>
      </c>
      <c r="DA15" s="166">
        <f t="shared" si="34"/>
        <v>0.875</v>
      </c>
      <c r="DB15" s="388">
        <f t="shared" si="35"/>
        <v>12</v>
      </c>
      <c r="DC15" s="165">
        <f t="shared" si="36"/>
        <v>0.5555555555555556</v>
      </c>
      <c r="DD15" s="396">
        <v>0</v>
      </c>
      <c r="DE15" s="69">
        <v>1</v>
      </c>
      <c r="DF15" s="394">
        <v>2</v>
      </c>
      <c r="DG15" s="155">
        <f t="shared" si="37"/>
        <v>0.8571428571428572</v>
      </c>
      <c r="DH15" s="73">
        <v>2</v>
      </c>
      <c r="DI15" s="38">
        <f t="shared" si="38"/>
        <v>0.9555555555555556</v>
      </c>
      <c r="DJ15" s="66">
        <v>1</v>
      </c>
      <c r="DK15" s="69">
        <v>0</v>
      </c>
      <c r="DL15" s="394">
        <v>1</v>
      </c>
      <c r="DM15" s="397">
        <v>0</v>
      </c>
      <c r="DN15" s="385">
        <f t="shared" si="39"/>
        <v>6</v>
      </c>
      <c r="DO15" s="390">
        <f t="shared" si="40"/>
        <v>0.9032258064516129</v>
      </c>
      <c r="DP15" s="175">
        <v>495</v>
      </c>
      <c r="DQ15" s="166">
        <f>1-DP15/(2477)*100/100</f>
        <v>0.8001614856681469</v>
      </c>
      <c r="DR15" s="66">
        <v>1</v>
      </c>
      <c r="DS15" s="28">
        <f t="shared" si="41"/>
        <v>0.75</v>
      </c>
      <c r="DT15" s="45">
        <v>1</v>
      </c>
      <c r="DU15" s="28">
        <v>1</v>
      </c>
      <c r="DV15" s="75"/>
      <c r="DW15" s="45">
        <v>1</v>
      </c>
      <c r="DX15" s="28">
        <v>1</v>
      </c>
      <c r="DY15" s="46"/>
      <c r="DZ15" s="45">
        <v>1</v>
      </c>
      <c r="EA15" s="28">
        <v>1</v>
      </c>
      <c r="EB15" s="76"/>
      <c r="EC15" s="45">
        <v>1</v>
      </c>
      <c r="ED15" s="69">
        <v>1</v>
      </c>
      <c r="EE15" s="49"/>
      <c r="EF15" s="49">
        <v>1</v>
      </c>
      <c r="EG15" s="69">
        <v>1</v>
      </c>
      <c r="EH15" s="49"/>
      <c r="EI15" s="49">
        <v>1</v>
      </c>
      <c r="EJ15" s="172">
        <v>1</v>
      </c>
      <c r="EK15" s="75"/>
      <c r="EL15" s="49"/>
      <c r="EM15" s="158"/>
      <c r="EN15" s="176"/>
      <c r="EO15" s="174"/>
      <c r="EP15" s="426">
        <f t="shared" si="42"/>
        <v>22.666144729021248</v>
      </c>
      <c r="EQ15" s="427">
        <f t="shared" si="43"/>
        <v>6</v>
      </c>
      <c r="ER15" s="430">
        <f t="shared" si="44"/>
        <v>1.617057655305351</v>
      </c>
      <c r="ES15" s="53" t="s">
        <v>117</v>
      </c>
      <c r="ET15" s="80"/>
      <c r="EU15" s="54">
        <v>22.354608989794855</v>
      </c>
      <c r="EV15" s="54">
        <v>6</v>
      </c>
      <c r="EW15" s="54">
        <v>1.552704073700215</v>
      </c>
      <c r="EX15" s="54" t="s">
        <v>117</v>
      </c>
    </row>
    <row r="16" spans="1:154" s="54" customFormat="1" ht="18.75">
      <c r="A16" s="55">
        <f t="shared" si="0"/>
        <v>7</v>
      </c>
      <c r="B16" s="56" t="s">
        <v>127</v>
      </c>
      <c r="C16" s="57">
        <v>0</v>
      </c>
      <c r="D16" s="158">
        <v>1</v>
      </c>
      <c r="E16" s="57">
        <v>0</v>
      </c>
      <c r="F16" s="158">
        <v>1</v>
      </c>
      <c r="G16" s="189">
        <v>19606.5</v>
      </c>
      <c r="H16" s="185">
        <v>24904.51697</v>
      </c>
      <c r="I16" s="58">
        <f t="shared" si="1"/>
        <v>-0.27021737536021223</v>
      </c>
      <c r="J16" s="78">
        <v>0</v>
      </c>
      <c r="K16" s="189">
        <v>24904.51697</v>
      </c>
      <c r="L16" s="185">
        <v>43327.71538</v>
      </c>
      <c r="M16" s="58">
        <f t="shared" si="2"/>
        <v>0.57479414161532</v>
      </c>
      <c r="N16" s="59">
        <v>0.8</v>
      </c>
      <c r="O16" s="189">
        <v>24904.51697</v>
      </c>
      <c r="P16" s="185">
        <v>24003.75861</v>
      </c>
      <c r="Q16" s="58">
        <f t="shared" si="3"/>
        <v>1.037525721477</v>
      </c>
      <c r="R16" s="28">
        <v>1</v>
      </c>
      <c r="S16" s="189">
        <v>24904.51697</v>
      </c>
      <c r="T16" s="185">
        <v>16422.00425</v>
      </c>
      <c r="U16" s="61">
        <f t="shared" si="4"/>
        <v>1.5165333409288333</v>
      </c>
      <c r="V16" s="155">
        <v>1</v>
      </c>
      <c r="W16" s="189">
        <v>1137.2129</v>
      </c>
      <c r="X16" s="185">
        <v>842.4801</v>
      </c>
      <c r="Y16" s="61">
        <f t="shared" si="5"/>
        <v>0.7408288280936666</v>
      </c>
      <c r="Z16" s="155">
        <v>0.25</v>
      </c>
      <c r="AA16" s="189">
        <v>842.4801</v>
      </c>
      <c r="AB16" s="185">
        <v>19842.04408</v>
      </c>
      <c r="AC16" s="61">
        <f t="shared" si="6"/>
        <v>0.04245934020725147</v>
      </c>
      <c r="AD16" s="181">
        <f t="shared" si="7"/>
        <v>0.9575406597927485</v>
      </c>
      <c r="AE16" s="184">
        <v>18423.19841</v>
      </c>
      <c r="AF16" s="185">
        <v>43327.71538</v>
      </c>
      <c r="AG16" s="185">
        <v>649.98</v>
      </c>
      <c r="AH16" s="58">
        <f t="shared" si="8"/>
        <v>0.4316817245798294</v>
      </c>
      <c r="AI16" s="60">
        <v>0.8</v>
      </c>
      <c r="AJ16" s="195">
        <v>-2283.5</v>
      </c>
      <c r="AK16" s="196">
        <v>175.5</v>
      </c>
      <c r="AL16" s="196">
        <f t="shared" si="9"/>
        <v>-2459</v>
      </c>
      <c r="AM16" s="147">
        <v>1</v>
      </c>
      <c r="AN16" s="66">
        <v>3999.1</v>
      </c>
      <c r="AO16" s="66">
        <v>4746.3</v>
      </c>
      <c r="AP16" s="58">
        <f t="shared" si="10"/>
        <v>0.8425721088005393</v>
      </c>
      <c r="AQ16" s="391">
        <v>1</v>
      </c>
      <c r="AR16" s="434">
        <f t="shared" si="11"/>
        <v>10.130425272989966</v>
      </c>
      <c r="AS16" s="434">
        <v>38766.96</v>
      </c>
      <c r="AT16" s="66">
        <v>38767</v>
      </c>
      <c r="AU16" s="66">
        <v>6230.9</v>
      </c>
      <c r="AV16" s="26">
        <f t="shared" si="12"/>
        <v>0.16072707274441947</v>
      </c>
      <c r="AW16" s="35">
        <v>1</v>
      </c>
      <c r="AX16" s="66">
        <v>3317.44</v>
      </c>
      <c r="AY16" s="66">
        <f t="shared" si="13"/>
        <v>82.9546647995799</v>
      </c>
      <c r="AZ16" s="66">
        <f t="shared" si="14"/>
        <v>53.241746778154045</v>
      </c>
      <c r="BA16" s="35">
        <v>1</v>
      </c>
      <c r="BB16" s="35">
        <v>1</v>
      </c>
      <c r="BC16" s="392">
        <v>13247</v>
      </c>
      <c r="BD16" s="36">
        <f t="shared" si="15"/>
        <v>2926.470899071488</v>
      </c>
      <c r="BE16" s="58">
        <f>BD16/BD47*100%</f>
        <v>0.7663081056006943</v>
      </c>
      <c r="BF16" s="35">
        <v>0.7</v>
      </c>
      <c r="BG16" s="68">
        <f>BD16*100/BD47</f>
        <v>76.63081056006943</v>
      </c>
      <c r="BH16" s="69">
        <f t="shared" si="16"/>
        <v>105.72604410992474</v>
      </c>
      <c r="BI16" s="69">
        <f t="shared" si="17"/>
        <v>10.906415843371942</v>
      </c>
      <c r="BJ16" s="66">
        <f>4228090.23/1000</f>
        <v>4228.090230000001</v>
      </c>
      <c r="BK16" s="66">
        <f t="shared" si="18"/>
        <v>319.17341511285576</v>
      </c>
      <c r="BL16" s="58">
        <f>BK16/BK47*100%</f>
        <v>0.47348427060137194</v>
      </c>
      <c r="BM16" s="68">
        <v>0</v>
      </c>
      <c r="BN16" s="73">
        <v>0</v>
      </c>
      <c r="BO16" s="71">
        <v>0</v>
      </c>
      <c r="BP16" s="58"/>
      <c r="BQ16" s="208"/>
      <c r="BR16" s="38">
        <v>1</v>
      </c>
      <c r="BS16" s="437">
        <f>9532.15+9232.34196</f>
        <v>18764.49196</v>
      </c>
      <c r="BT16" s="438">
        <f t="shared" si="19"/>
        <v>0.48403260401888204</v>
      </c>
      <c r="BU16" s="383">
        <f t="shared" si="20"/>
        <v>0.9680652080377641</v>
      </c>
      <c r="BV16" s="169">
        <v>4.354440767314567</v>
      </c>
      <c r="BW16" s="166">
        <f t="shared" si="21"/>
        <v>0.9564555923268543</v>
      </c>
      <c r="BX16" s="393">
        <f>3+3+2</f>
        <v>8</v>
      </c>
      <c r="BY16" s="166">
        <f t="shared" si="22"/>
        <v>0.33333333333333337</v>
      </c>
      <c r="BZ16" s="394">
        <v>0</v>
      </c>
      <c r="CA16" s="381">
        <v>1</v>
      </c>
      <c r="CB16" s="394">
        <v>0</v>
      </c>
      <c r="CC16" s="28">
        <f t="shared" si="23"/>
        <v>1</v>
      </c>
      <c r="CD16" s="395">
        <v>0</v>
      </c>
      <c r="CE16" s="387">
        <f>1-CD16/1</f>
        <v>1</v>
      </c>
      <c r="CF16" s="73"/>
      <c r="CG16" s="28">
        <f t="shared" si="24"/>
        <v>1</v>
      </c>
      <c r="CH16" s="73"/>
      <c r="CI16" s="48"/>
      <c r="CJ16" s="36">
        <v>1</v>
      </c>
      <c r="CK16" s="28">
        <f t="shared" si="25"/>
        <v>0</v>
      </c>
      <c r="CL16" s="388">
        <f t="shared" si="26"/>
        <v>9</v>
      </c>
      <c r="CM16" s="28">
        <f t="shared" si="27"/>
        <v>0.55</v>
      </c>
      <c r="CN16" s="74"/>
      <c r="CO16" s="48">
        <f t="shared" si="28"/>
        <v>1</v>
      </c>
      <c r="CP16" s="66"/>
      <c r="CQ16" s="66">
        <f t="shared" si="29"/>
        <v>1</v>
      </c>
      <c r="CR16" s="394">
        <v>1</v>
      </c>
      <c r="CS16" s="38">
        <f t="shared" si="30"/>
        <v>0.6666666666666667</v>
      </c>
      <c r="CT16" s="394">
        <v>0</v>
      </c>
      <c r="CU16" s="381">
        <f t="shared" si="31"/>
        <v>1</v>
      </c>
      <c r="CV16" s="393">
        <v>3</v>
      </c>
      <c r="CW16" s="165">
        <f t="shared" si="32"/>
        <v>0.4</v>
      </c>
      <c r="CX16" s="393">
        <f>2+3+2+1</f>
        <v>8</v>
      </c>
      <c r="CY16" s="165">
        <f t="shared" si="33"/>
        <v>0.2727272727272727</v>
      </c>
      <c r="CZ16" s="393">
        <v>4</v>
      </c>
      <c r="DA16" s="166">
        <f t="shared" si="34"/>
        <v>0.5</v>
      </c>
      <c r="DB16" s="388">
        <f t="shared" si="35"/>
        <v>16</v>
      </c>
      <c r="DC16" s="165">
        <f t="shared" si="36"/>
        <v>0.40740740740740744</v>
      </c>
      <c r="DD16" s="396">
        <v>0</v>
      </c>
      <c r="DE16" s="69">
        <v>1</v>
      </c>
      <c r="DF16" s="394">
        <v>7</v>
      </c>
      <c r="DG16" s="155">
        <f t="shared" si="37"/>
        <v>0.5</v>
      </c>
      <c r="DH16" s="73">
        <v>7</v>
      </c>
      <c r="DI16" s="38">
        <f t="shared" si="38"/>
        <v>0.8444444444444444</v>
      </c>
      <c r="DJ16" s="66">
        <v>0</v>
      </c>
      <c r="DK16" s="69">
        <v>1</v>
      </c>
      <c r="DL16" s="394">
        <v>4</v>
      </c>
      <c r="DM16" s="397">
        <v>0.3</v>
      </c>
      <c r="DN16" s="385">
        <f t="shared" si="39"/>
        <v>18</v>
      </c>
      <c r="DO16" s="390">
        <f t="shared" si="40"/>
        <v>0.7096774193548387</v>
      </c>
      <c r="DP16" s="175">
        <v>717</v>
      </c>
      <c r="DQ16" s="166">
        <f>1-DP16/(2389)*100/100</f>
        <v>0.6998744244453746</v>
      </c>
      <c r="DR16" s="66">
        <v>3</v>
      </c>
      <c r="DS16" s="28">
        <f t="shared" si="41"/>
        <v>0.25</v>
      </c>
      <c r="DT16" s="45">
        <v>1</v>
      </c>
      <c r="DU16" s="28">
        <v>1</v>
      </c>
      <c r="DV16" s="75"/>
      <c r="DW16" s="45">
        <v>0</v>
      </c>
      <c r="DX16" s="28">
        <v>0</v>
      </c>
      <c r="DY16" s="46"/>
      <c r="DZ16" s="45">
        <v>1</v>
      </c>
      <c r="EA16" s="28">
        <v>1</v>
      </c>
      <c r="EB16" s="76"/>
      <c r="EC16" s="45">
        <v>1</v>
      </c>
      <c r="ED16" s="69">
        <v>1</v>
      </c>
      <c r="EE16" s="49"/>
      <c r="EF16" s="49">
        <v>1</v>
      </c>
      <c r="EG16" s="69">
        <v>1</v>
      </c>
      <c r="EH16" s="49"/>
      <c r="EI16" s="49">
        <v>1</v>
      </c>
      <c r="EJ16" s="172">
        <v>1</v>
      </c>
      <c r="EK16" s="75"/>
      <c r="EL16" s="49"/>
      <c r="EM16" s="158"/>
      <c r="EN16" s="176"/>
      <c r="EO16" s="174"/>
      <c r="EP16" s="426">
        <f t="shared" si="42"/>
        <v>23.04902071136499</v>
      </c>
      <c r="EQ16" s="427">
        <f t="shared" si="43"/>
        <v>7</v>
      </c>
      <c r="ER16" s="430">
        <f t="shared" si="44"/>
        <v>1.617057655305351</v>
      </c>
      <c r="ES16" s="53" t="s">
        <v>117</v>
      </c>
      <c r="ET16" s="80"/>
      <c r="EU16" s="54">
        <v>22.28579767269808</v>
      </c>
      <c r="EV16" s="54">
        <v>7</v>
      </c>
      <c r="EW16" s="54">
        <v>1.552704073700215</v>
      </c>
      <c r="EX16" s="54" t="s">
        <v>117</v>
      </c>
    </row>
    <row r="17" spans="1:154" s="54" customFormat="1" ht="18.75">
      <c r="A17" s="55">
        <f t="shared" si="0"/>
        <v>8</v>
      </c>
      <c r="B17" s="56" t="s">
        <v>124</v>
      </c>
      <c r="C17" s="57">
        <v>0</v>
      </c>
      <c r="D17" s="158">
        <v>1</v>
      </c>
      <c r="E17" s="57">
        <v>0</v>
      </c>
      <c r="F17" s="158">
        <v>1</v>
      </c>
      <c r="G17" s="189">
        <v>7475.8</v>
      </c>
      <c r="H17" s="185">
        <v>5906.8034</v>
      </c>
      <c r="I17" s="58">
        <f t="shared" si="1"/>
        <v>0.2098767489766982</v>
      </c>
      <c r="J17" s="78">
        <v>0</v>
      </c>
      <c r="K17" s="189">
        <v>5906.8034</v>
      </c>
      <c r="L17" s="185">
        <v>12398.2037</v>
      </c>
      <c r="M17" s="58">
        <f t="shared" si="2"/>
        <v>0.47642412908573195</v>
      </c>
      <c r="N17" s="59">
        <v>0.5</v>
      </c>
      <c r="O17" s="189">
        <v>5906.8034</v>
      </c>
      <c r="P17" s="185">
        <v>6106.73162</v>
      </c>
      <c r="Q17" s="58">
        <f t="shared" si="3"/>
        <v>0.967261010890798</v>
      </c>
      <c r="R17" s="28">
        <v>1</v>
      </c>
      <c r="S17" s="189">
        <v>5906.8034</v>
      </c>
      <c r="T17" s="185">
        <v>5516.26364</v>
      </c>
      <c r="U17" s="61">
        <f t="shared" si="4"/>
        <v>1.0707978779636427</v>
      </c>
      <c r="V17" s="155">
        <v>1</v>
      </c>
      <c r="W17" s="189">
        <v>450.5948</v>
      </c>
      <c r="X17" s="185">
        <v>746.8561</v>
      </c>
      <c r="Y17" s="61">
        <f t="shared" si="5"/>
        <v>1.6574893895801726</v>
      </c>
      <c r="Z17" s="155">
        <v>0</v>
      </c>
      <c r="AA17" s="189">
        <v>746.8561</v>
      </c>
      <c r="AB17" s="185">
        <v>5577.89131</v>
      </c>
      <c r="AC17" s="61">
        <f t="shared" si="6"/>
        <v>0.13389577861817462</v>
      </c>
      <c r="AD17" s="181">
        <f t="shared" si="7"/>
        <v>0.8661042213818254</v>
      </c>
      <c r="AE17" s="184">
        <v>6491.4003</v>
      </c>
      <c r="AF17" s="185">
        <v>12398.2037</v>
      </c>
      <c r="AG17" s="185">
        <v>300.84</v>
      </c>
      <c r="AH17" s="58">
        <f t="shared" si="8"/>
        <v>0.536596275104137</v>
      </c>
      <c r="AI17" s="60">
        <v>0.5</v>
      </c>
      <c r="AJ17" s="195">
        <v>490</v>
      </c>
      <c r="AK17" s="196">
        <v>495.5</v>
      </c>
      <c r="AL17" s="196">
        <f t="shared" si="9"/>
        <v>-5.5</v>
      </c>
      <c r="AM17" s="147">
        <v>1</v>
      </c>
      <c r="AN17" s="66">
        <v>2357.9</v>
      </c>
      <c r="AO17" s="66">
        <v>3263.5</v>
      </c>
      <c r="AP17" s="58">
        <f t="shared" si="10"/>
        <v>0.7225065114141259</v>
      </c>
      <c r="AQ17" s="391">
        <v>1</v>
      </c>
      <c r="AR17" s="434">
        <f t="shared" si="11"/>
        <v>3.332323783725729</v>
      </c>
      <c r="AS17" s="434">
        <v>12752.05</v>
      </c>
      <c r="AT17" s="66">
        <v>12752.1</v>
      </c>
      <c r="AU17" s="66">
        <v>4237.8</v>
      </c>
      <c r="AV17" s="26">
        <f t="shared" si="12"/>
        <v>0.3323230382565941</v>
      </c>
      <c r="AW17" s="35">
        <v>1</v>
      </c>
      <c r="AX17" s="66">
        <v>2342.9</v>
      </c>
      <c r="AY17" s="66">
        <f t="shared" si="13"/>
        <v>99.3638407057127</v>
      </c>
      <c r="AZ17" s="66">
        <f t="shared" si="14"/>
        <v>55.285761480013214</v>
      </c>
      <c r="BA17" s="35">
        <v>0</v>
      </c>
      <c r="BB17" s="35">
        <v>1</v>
      </c>
      <c r="BC17" s="392">
        <v>5190</v>
      </c>
      <c r="BD17" s="36">
        <f t="shared" si="15"/>
        <v>2457.0423892100193</v>
      </c>
      <c r="BE17" s="58">
        <f>BD17/BD49*100%</f>
        <v>0.6433863734143147</v>
      </c>
      <c r="BF17" s="35">
        <v>0</v>
      </c>
      <c r="BG17" s="68">
        <f>BD17*100/BD48</f>
        <v>64.33863734143148</v>
      </c>
      <c r="BH17" s="69">
        <f t="shared" si="16"/>
        <v>4.043988718775181</v>
      </c>
      <c r="BI17" s="69">
        <f t="shared" si="17"/>
        <v>0.7477451556998455</v>
      </c>
      <c r="BJ17" s="66">
        <f>95353.21/1000</f>
        <v>95.35321</v>
      </c>
      <c r="BK17" s="66">
        <f t="shared" si="18"/>
        <v>18.37248747591522</v>
      </c>
      <c r="BL17" s="58">
        <f>BK17/BK49*100%</f>
        <v>0.027255038859018605</v>
      </c>
      <c r="BM17" s="68">
        <v>0</v>
      </c>
      <c r="BN17" s="73">
        <v>0</v>
      </c>
      <c r="BO17" s="71">
        <v>0</v>
      </c>
      <c r="BP17" s="58"/>
      <c r="BQ17" s="208"/>
      <c r="BR17" s="38">
        <v>1</v>
      </c>
      <c r="BS17" s="66">
        <v>1054.22</v>
      </c>
      <c r="BT17" s="61">
        <f t="shared" si="19"/>
        <v>0.08267030528305142</v>
      </c>
      <c r="BU17" s="383">
        <f t="shared" si="20"/>
        <v>0.16534061056610283</v>
      </c>
      <c r="BV17" s="169">
        <v>1.9636752110260332</v>
      </c>
      <c r="BW17" s="166">
        <f t="shared" si="21"/>
        <v>0.9803632478897397</v>
      </c>
      <c r="BX17" s="393">
        <f>1+2+1</f>
        <v>4</v>
      </c>
      <c r="BY17" s="166">
        <f t="shared" si="22"/>
        <v>0.6666666666666667</v>
      </c>
      <c r="BZ17" s="394">
        <v>0</v>
      </c>
      <c r="CA17" s="381">
        <v>1</v>
      </c>
      <c r="CB17" s="394">
        <v>0</v>
      </c>
      <c r="CC17" s="28">
        <f t="shared" si="23"/>
        <v>1</v>
      </c>
      <c r="CD17" s="395">
        <v>0</v>
      </c>
      <c r="CE17" s="387">
        <f>1-CD17/1</f>
        <v>1</v>
      </c>
      <c r="CF17" s="73"/>
      <c r="CG17" s="28">
        <f t="shared" si="24"/>
        <v>1</v>
      </c>
      <c r="CH17" s="73"/>
      <c r="CI17" s="48"/>
      <c r="CJ17" s="36"/>
      <c r="CK17" s="28">
        <f t="shared" si="25"/>
        <v>1</v>
      </c>
      <c r="CL17" s="388">
        <f t="shared" si="26"/>
        <v>4</v>
      </c>
      <c r="CM17" s="28">
        <f t="shared" si="27"/>
        <v>0.8</v>
      </c>
      <c r="CN17" s="74"/>
      <c r="CO17" s="48">
        <f t="shared" si="28"/>
        <v>1</v>
      </c>
      <c r="CP17" s="66"/>
      <c r="CQ17" s="66">
        <f t="shared" si="29"/>
        <v>1</v>
      </c>
      <c r="CR17" s="394">
        <v>0</v>
      </c>
      <c r="CS17" s="38">
        <f t="shared" si="30"/>
        <v>1</v>
      </c>
      <c r="CT17" s="394">
        <v>0</v>
      </c>
      <c r="CU17" s="381">
        <f t="shared" si="31"/>
        <v>1</v>
      </c>
      <c r="CV17" s="393">
        <v>1</v>
      </c>
      <c r="CW17" s="165">
        <f t="shared" si="32"/>
        <v>0.8</v>
      </c>
      <c r="CX17" s="393">
        <v>3</v>
      </c>
      <c r="CY17" s="165">
        <f t="shared" si="33"/>
        <v>0.7272727272727273</v>
      </c>
      <c r="CZ17" s="393">
        <v>1</v>
      </c>
      <c r="DA17" s="166">
        <f t="shared" si="34"/>
        <v>0.875</v>
      </c>
      <c r="DB17" s="388">
        <f t="shared" si="35"/>
        <v>5</v>
      </c>
      <c r="DC17" s="165">
        <f t="shared" si="36"/>
        <v>0.8148148148148149</v>
      </c>
      <c r="DD17" s="396">
        <v>0</v>
      </c>
      <c r="DE17" s="69">
        <v>1</v>
      </c>
      <c r="DF17" s="394">
        <v>1</v>
      </c>
      <c r="DG17" s="155">
        <f t="shared" si="37"/>
        <v>0.9285714285714286</v>
      </c>
      <c r="DH17" s="73">
        <v>10</v>
      </c>
      <c r="DI17" s="38">
        <f t="shared" si="38"/>
        <v>0.7777777777777778</v>
      </c>
      <c r="DJ17" s="66">
        <v>1</v>
      </c>
      <c r="DK17" s="69">
        <v>0</v>
      </c>
      <c r="DL17" s="394">
        <v>1</v>
      </c>
      <c r="DM17" s="397">
        <v>0.8333333333333334</v>
      </c>
      <c r="DN17" s="385">
        <f t="shared" si="39"/>
        <v>13</v>
      </c>
      <c r="DO17" s="390">
        <f t="shared" si="40"/>
        <v>0.7903225806451613</v>
      </c>
      <c r="DP17" s="175">
        <v>103</v>
      </c>
      <c r="DQ17" s="166">
        <f>1-DP17/(1031)*100/100</f>
        <v>0.9000969932104752</v>
      </c>
      <c r="DR17" s="66">
        <v>0</v>
      </c>
      <c r="DS17" s="28">
        <f t="shared" si="41"/>
        <v>1</v>
      </c>
      <c r="DT17" s="45">
        <v>1</v>
      </c>
      <c r="DU17" s="28">
        <v>1</v>
      </c>
      <c r="DV17" s="75"/>
      <c r="DW17" s="45">
        <v>1</v>
      </c>
      <c r="DX17" s="28">
        <v>1</v>
      </c>
      <c r="DY17" s="46"/>
      <c r="DZ17" s="45">
        <v>1</v>
      </c>
      <c r="EA17" s="28">
        <v>1</v>
      </c>
      <c r="EB17" s="76"/>
      <c r="EC17" s="45">
        <v>1</v>
      </c>
      <c r="ED17" s="69">
        <v>1</v>
      </c>
      <c r="EE17" s="49"/>
      <c r="EF17" s="49">
        <v>1</v>
      </c>
      <c r="EG17" s="69">
        <v>1</v>
      </c>
      <c r="EH17" s="49"/>
      <c r="EI17" s="49">
        <v>1</v>
      </c>
      <c r="EJ17" s="172">
        <v>1</v>
      </c>
      <c r="EK17" s="75"/>
      <c r="EL17" s="49"/>
      <c r="EM17" s="158"/>
      <c r="EN17" s="176"/>
      <c r="EO17" s="174"/>
      <c r="EP17" s="426">
        <f t="shared" si="42"/>
        <v>22.31704246850812</v>
      </c>
      <c r="EQ17" s="427">
        <f t="shared" si="43"/>
        <v>8</v>
      </c>
      <c r="ER17" s="430">
        <f t="shared" si="44"/>
        <v>1.617057655305351</v>
      </c>
      <c r="ES17" s="53" t="s">
        <v>117</v>
      </c>
      <c r="EU17" s="54">
        <v>22.201410392222645</v>
      </c>
      <c r="EV17" s="54">
        <v>8</v>
      </c>
      <c r="EW17" s="54">
        <v>1.552704073700215</v>
      </c>
      <c r="EX17" s="54" t="s">
        <v>117</v>
      </c>
    </row>
    <row r="18" spans="1:154" s="54" customFormat="1" ht="18.75">
      <c r="A18" s="55">
        <f t="shared" si="0"/>
        <v>9</v>
      </c>
      <c r="B18" s="56" t="s">
        <v>136</v>
      </c>
      <c r="C18" s="57">
        <v>0</v>
      </c>
      <c r="D18" s="158">
        <v>1</v>
      </c>
      <c r="E18" s="57">
        <v>0</v>
      </c>
      <c r="F18" s="158">
        <v>1</v>
      </c>
      <c r="G18" s="189">
        <v>6835</v>
      </c>
      <c r="H18" s="185">
        <v>9894.43062</v>
      </c>
      <c r="I18" s="58">
        <f t="shared" si="1"/>
        <v>-0.4476123803950255</v>
      </c>
      <c r="J18" s="151">
        <v>0</v>
      </c>
      <c r="K18" s="189">
        <v>9894.43062</v>
      </c>
      <c r="L18" s="185">
        <v>23133.70256</v>
      </c>
      <c r="M18" s="58">
        <f t="shared" si="2"/>
        <v>0.4277063126552103</v>
      </c>
      <c r="N18" s="59">
        <v>0.5</v>
      </c>
      <c r="O18" s="189">
        <v>9894.43062</v>
      </c>
      <c r="P18" s="185">
        <v>9640.478</v>
      </c>
      <c r="Q18" s="58">
        <f t="shared" si="3"/>
        <v>1.0263423265941793</v>
      </c>
      <c r="R18" s="28">
        <v>1</v>
      </c>
      <c r="S18" s="189">
        <v>9894.43062</v>
      </c>
      <c r="T18" s="185">
        <v>7879.4086</v>
      </c>
      <c r="U18" s="61">
        <f t="shared" si="4"/>
        <v>1.2557326472446166</v>
      </c>
      <c r="V18" s="155">
        <v>1</v>
      </c>
      <c r="W18" s="189">
        <v>992.2754</v>
      </c>
      <c r="X18" s="185">
        <v>1785.3206</v>
      </c>
      <c r="Y18" s="61">
        <f t="shared" si="5"/>
        <v>1.7992188458970162</v>
      </c>
      <c r="Z18" s="155">
        <v>0</v>
      </c>
      <c r="AA18" s="189">
        <v>1785.3206</v>
      </c>
      <c r="AB18" s="185">
        <v>5910.33068</v>
      </c>
      <c r="AC18" s="61">
        <f t="shared" si="6"/>
        <v>0.30206780240593917</v>
      </c>
      <c r="AD18" s="181">
        <f t="shared" si="7"/>
        <v>0.6979321975940609</v>
      </c>
      <c r="AE18" s="184">
        <v>13239.27194</v>
      </c>
      <c r="AF18" s="185">
        <v>23133.70256</v>
      </c>
      <c r="AG18" s="185">
        <v>192.28</v>
      </c>
      <c r="AH18" s="58">
        <f t="shared" si="8"/>
        <v>0.5770902787468642</v>
      </c>
      <c r="AI18" s="60">
        <v>0.5</v>
      </c>
      <c r="AJ18" s="195">
        <v>118</v>
      </c>
      <c r="AK18" s="196">
        <v>486.4</v>
      </c>
      <c r="AL18" s="196">
        <f t="shared" si="9"/>
        <v>-368.4</v>
      </c>
      <c r="AM18" s="147">
        <v>1</v>
      </c>
      <c r="AN18" s="66">
        <v>2523.3</v>
      </c>
      <c r="AO18" s="66">
        <v>3009.4</v>
      </c>
      <c r="AP18" s="58">
        <f t="shared" si="10"/>
        <v>0.8384727852728119</v>
      </c>
      <c r="AQ18" s="391">
        <v>1</v>
      </c>
      <c r="AR18" s="434">
        <f t="shared" si="11"/>
        <v>5.911666412754923</v>
      </c>
      <c r="AS18" s="434">
        <v>22622.7</v>
      </c>
      <c r="AT18" s="66">
        <v>22622.7</v>
      </c>
      <c r="AU18" s="66">
        <v>7459.3</v>
      </c>
      <c r="AV18" s="26">
        <f t="shared" si="12"/>
        <v>0.3297263368209807</v>
      </c>
      <c r="AW18" s="35">
        <v>1</v>
      </c>
      <c r="AX18" s="66">
        <v>2478.18</v>
      </c>
      <c r="AY18" s="66">
        <f t="shared" si="13"/>
        <v>98.21186541433835</v>
      </c>
      <c r="AZ18" s="66">
        <f t="shared" si="14"/>
        <v>33.22268845602134</v>
      </c>
      <c r="BA18" s="35">
        <v>0</v>
      </c>
      <c r="BB18" s="35">
        <v>1</v>
      </c>
      <c r="BC18" s="392">
        <v>3682</v>
      </c>
      <c r="BD18" s="36">
        <f t="shared" si="15"/>
        <v>6144.133623030962</v>
      </c>
      <c r="BE18" s="58">
        <f>BD18/BD49*100%</f>
        <v>1.6088659547977182</v>
      </c>
      <c r="BF18" s="35">
        <v>1</v>
      </c>
      <c r="BG18" s="68">
        <f>BD18*100/BD47</f>
        <v>160.88659547977184</v>
      </c>
      <c r="BH18" s="69">
        <f t="shared" si="16"/>
        <v>184.11276701145323</v>
      </c>
      <c r="BI18" s="69">
        <f t="shared" si="17"/>
        <v>20.535645391575716</v>
      </c>
      <c r="BJ18" s="66">
        <f>4645717.45/1000</f>
        <v>4645.71745</v>
      </c>
      <c r="BK18" s="66">
        <f t="shared" si="18"/>
        <v>1261.7374932102118</v>
      </c>
      <c r="BL18" s="58">
        <f>BK18/BK49*100%</f>
        <v>1.8717500530293314</v>
      </c>
      <c r="BM18" s="68">
        <v>1</v>
      </c>
      <c r="BN18" s="73">
        <v>1404.4</v>
      </c>
      <c r="BO18" s="71">
        <v>529.48</v>
      </c>
      <c r="BP18" s="58">
        <f>BO18/(BN18+BO18)</f>
        <v>0.2737915485966037</v>
      </c>
      <c r="BQ18" s="208">
        <v>1</v>
      </c>
      <c r="BR18" s="38">
        <v>1</v>
      </c>
      <c r="BS18" s="437">
        <f>3774.6657+2559.81984</f>
        <v>6334.48554</v>
      </c>
      <c r="BT18" s="438">
        <f t="shared" si="19"/>
        <v>0.28000572610696334</v>
      </c>
      <c r="BU18" s="383">
        <f t="shared" si="20"/>
        <v>0.5600114522139267</v>
      </c>
      <c r="BV18" s="169">
        <v>1.615758484497452</v>
      </c>
      <c r="BW18" s="166">
        <f t="shared" si="21"/>
        <v>0.9838424151550255</v>
      </c>
      <c r="BX18" s="393">
        <f>3+2+2</f>
        <v>7</v>
      </c>
      <c r="BY18" s="166">
        <f t="shared" si="22"/>
        <v>0.41666666666666663</v>
      </c>
      <c r="BZ18" s="394">
        <v>0</v>
      </c>
      <c r="CA18" s="381">
        <f>1-BZ18/1</f>
        <v>1</v>
      </c>
      <c r="CB18" s="394">
        <v>0</v>
      </c>
      <c r="CC18" s="28">
        <f t="shared" si="23"/>
        <v>1</v>
      </c>
      <c r="CD18" s="395">
        <v>0</v>
      </c>
      <c r="CE18" s="387">
        <f>1-CD18/1</f>
        <v>1</v>
      </c>
      <c r="CF18" s="73"/>
      <c r="CG18" s="28">
        <f t="shared" si="24"/>
        <v>1</v>
      </c>
      <c r="CH18" s="73"/>
      <c r="CI18" s="48"/>
      <c r="CJ18" s="66"/>
      <c r="CK18" s="28">
        <f t="shared" si="25"/>
        <v>1</v>
      </c>
      <c r="CL18" s="388">
        <f t="shared" si="26"/>
        <v>7</v>
      </c>
      <c r="CM18" s="28">
        <f t="shared" si="27"/>
        <v>0.65</v>
      </c>
      <c r="CN18" s="74"/>
      <c r="CO18" s="48">
        <f t="shared" si="28"/>
        <v>1</v>
      </c>
      <c r="CP18" s="66"/>
      <c r="CQ18" s="66">
        <f t="shared" si="29"/>
        <v>1</v>
      </c>
      <c r="CR18" s="394">
        <v>0</v>
      </c>
      <c r="CS18" s="38">
        <f t="shared" si="30"/>
        <v>1</v>
      </c>
      <c r="CT18" s="394">
        <v>0</v>
      </c>
      <c r="CU18" s="381">
        <f t="shared" si="31"/>
        <v>1</v>
      </c>
      <c r="CV18" s="393"/>
      <c r="CW18" s="165">
        <f t="shared" si="32"/>
        <v>1</v>
      </c>
      <c r="CX18" s="393">
        <v>3</v>
      </c>
      <c r="CY18" s="165">
        <f t="shared" si="33"/>
        <v>0.7272727272727273</v>
      </c>
      <c r="CZ18" s="393">
        <v>1</v>
      </c>
      <c r="DA18" s="166">
        <f t="shared" si="34"/>
        <v>0.875</v>
      </c>
      <c r="DB18" s="388">
        <f t="shared" si="35"/>
        <v>4</v>
      </c>
      <c r="DC18" s="165">
        <f t="shared" si="36"/>
        <v>0.8518518518518519</v>
      </c>
      <c r="DD18" s="396">
        <v>0</v>
      </c>
      <c r="DE18" s="69">
        <v>0.5</v>
      </c>
      <c r="DF18" s="394">
        <v>1</v>
      </c>
      <c r="DG18" s="155">
        <f t="shared" si="37"/>
        <v>0.9285714285714286</v>
      </c>
      <c r="DH18" s="73">
        <v>1</v>
      </c>
      <c r="DI18" s="38">
        <f t="shared" si="38"/>
        <v>0.9777777777777777</v>
      </c>
      <c r="DJ18" s="66">
        <v>0</v>
      </c>
      <c r="DK18" s="69">
        <v>0</v>
      </c>
      <c r="DL18" s="394">
        <v>0</v>
      </c>
      <c r="DM18" s="397">
        <v>1</v>
      </c>
      <c r="DN18" s="385">
        <f t="shared" si="39"/>
        <v>2</v>
      </c>
      <c r="DO18" s="390">
        <f t="shared" si="40"/>
        <v>0.967741935483871</v>
      </c>
      <c r="DP18" s="175">
        <v>50</v>
      </c>
      <c r="DQ18" s="166">
        <f>1-DP18/(2177)*100/100</f>
        <v>0.9770326136885622</v>
      </c>
      <c r="DR18" s="66">
        <v>1</v>
      </c>
      <c r="DS18" s="28">
        <f t="shared" si="41"/>
        <v>0.75</v>
      </c>
      <c r="DT18" s="45">
        <v>1</v>
      </c>
      <c r="DU18" s="28">
        <v>1</v>
      </c>
      <c r="DV18" s="75"/>
      <c r="DW18" s="45">
        <v>0</v>
      </c>
      <c r="DX18" s="28">
        <v>0</v>
      </c>
      <c r="DY18" s="46"/>
      <c r="DZ18" s="45">
        <v>0</v>
      </c>
      <c r="EA18" s="28">
        <v>0</v>
      </c>
      <c r="EB18" s="76"/>
      <c r="EC18" s="45">
        <v>1</v>
      </c>
      <c r="ED18" s="69">
        <v>1</v>
      </c>
      <c r="EE18" s="49"/>
      <c r="EF18" s="49">
        <v>1</v>
      </c>
      <c r="EG18" s="69">
        <v>1</v>
      </c>
      <c r="EH18" s="49"/>
      <c r="EI18" s="49">
        <v>1</v>
      </c>
      <c r="EJ18" s="172">
        <v>1</v>
      </c>
      <c r="EK18" s="75"/>
      <c r="EL18" s="49"/>
      <c r="EM18" s="158"/>
      <c r="EN18" s="176"/>
      <c r="EO18" s="174"/>
      <c r="EP18" s="426">
        <f t="shared" si="42"/>
        <v>22.438412465987295</v>
      </c>
      <c r="EQ18" s="427">
        <f t="shared" si="43"/>
        <v>9</v>
      </c>
      <c r="ER18" s="430">
        <f t="shared" si="44"/>
        <v>1.617057655305351</v>
      </c>
      <c r="ES18" s="53" t="s">
        <v>117</v>
      </c>
      <c r="EU18" s="54">
        <v>21.97765124385201</v>
      </c>
      <c r="EV18" s="54">
        <v>11</v>
      </c>
      <c r="EW18" s="54">
        <v>1.552704073700215</v>
      </c>
      <c r="EX18" s="54" t="s">
        <v>117</v>
      </c>
    </row>
    <row r="19" spans="1:154" s="54" customFormat="1" ht="18.75">
      <c r="A19" s="55">
        <f t="shared" si="0"/>
        <v>10</v>
      </c>
      <c r="B19" s="56" t="s">
        <v>132</v>
      </c>
      <c r="C19" s="57">
        <v>0</v>
      </c>
      <c r="D19" s="158">
        <v>1</v>
      </c>
      <c r="E19" s="57">
        <v>0</v>
      </c>
      <c r="F19" s="158">
        <v>1</v>
      </c>
      <c r="G19" s="189">
        <v>4224.2</v>
      </c>
      <c r="H19" s="185">
        <v>3488.02004</v>
      </c>
      <c r="I19" s="58">
        <f t="shared" si="1"/>
        <v>0.17427677666777142</v>
      </c>
      <c r="J19" s="151">
        <v>0.1</v>
      </c>
      <c r="K19" s="189">
        <v>3488.02004</v>
      </c>
      <c r="L19" s="185">
        <v>7604.18034</v>
      </c>
      <c r="M19" s="58">
        <f t="shared" si="2"/>
        <v>0.4586977010069175</v>
      </c>
      <c r="N19" s="59">
        <v>0.5</v>
      </c>
      <c r="O19" s="189">
        <v>3488.02004</v>
      </c>
      <c r="P19" s="185">
        <v>3488.02004</v>
      </c>
      <c r="Q19" s="58">
        <f t="shared" si="3"/>
        <v>1</v>
      </c>
      <c r="R19" s="28">
        <v>1</v>
      </c>
      <c r="S19" s="189">
        <v>3488.02004</v>
      </c>
      <c r="T19" s="185">
        <v>2532.50377</v>
      </c>
      <c r="U19" s="61">
        <f t="shared" si="4"/>
        <v>1.3773010256960052</v>
      </c>
      <c r="V19" s="155">
        <v>1</v>
      </c>
      <c r="W19" s="189">
        <v>936.2514</v>
      </c>
      <c r="X19" s="185">
        <v>1144.0694</v>
      </c>
      <c r="Y19" s="61">
        <f t="shared" si="5"/>
        <v>1.2219681594067577</v>
      </c>
      <c r="Z19" s="155">
        <v>0</v>
      </c>
      <c r="AA19" s="189">
        <v>1144.0694</v>
      </c>
      <c r="AB19" s="185">
        <v>2645.42102</v>
      </c>
      <c r="AC19" s="61">
        <f t="shared" si="6"/>
        <v>0.43247157686832016</v>
      </c>
      <c r="AD19" s="181">
        <f t="shared" si="7"/>
        <v>0.5675284231316798</v>
      </c>
      <c r="AE19" s="184">
        <v>4116.1603</v>
      </c>
      <c r="AF19" s="185">
        <v>7604.18034</v>
      </c>
      <c r="AG19" s="185">
        <v>131.1</v>
      </c>
      <c r="AH19" s="58">
        <f t="shared" si="8"/>
        <v>0.550798347231471</v>
      </c>
      <c r="AI19" s="60">
        <v>0.5</v>
      </c>
      <c r="AJ19" s="195">
        <v>499.3</v>
      </c>
      <c r="AK19" s="196">
        <v>103.9</v>
      </c>
      <c r="AL19" s="196">
        <f t="shared" si="9"/>
        <v>395.4</v>
      </c>
      <c r="AM19" s="147">
        <v>0</v>
      </c>
      <c r="AN19" s="66">
        <v>1924.1</v>
      </c>
      <c r="AO19" s="66">
        <v>2204.1</v>
      </c>
      <c r="AP19" s="58">
        <f t="shared" si="10"/>
        <v>0.8729640215961163</v>
      </c>
      <c r="AQ19" s="391">
        <v>1</v>
      </c>
      <c r="AR19" s="434">
        <f t="shared" si="11"/>
        <v>2.107563286086586</v>
      </c>
      <c r="AS19" s="434">
        <v>8065.24</v>
      </c>
      <c r="AT19" s="66">
        <v>8065.2</v>
      </c>
      <c r="AU19" s="66">
        <v>4377.7</v>
      </c>
      <c r="AV19" s="26">
        <f t="shared" si="12"/>
        <v>0.5427860795215022</v>
      </c>
      <c r="AW19" s="35">
        <v>0.8</v>
      </c>
      <c r="AX19" s="66">
        <v>1878.09</v>
      </c>
      <c r="AY19" s="66">
        <f t="shared" si="13"/>
        <v>97.60875214385948</v>
      </c>
      <c r="AZ19" s="66">
        <f t="shared" si="14"/>
        <v>42.90129520067616</v>
      </c>
      <c r="BA19" s="35">
        <v>0</v>
      </c>
      <c r="BB19" s="35">
        <v>1</v>
      </c>
      <c r="BC19" s="392">
        <v>1846</v>
      </c>
      <c r="BD19" s="36">
        <f t="shared" si="15"/>
        <v>4369.035752979415</v>
      </c>
      <c r="BE19" s="58">
        <f>BD19/BD52*100%</f>
        <v>1.1440494802902779</v>
      </c>
      <c r="BF19" s="35">
        <v>1</v>
      </c>
      <c r="BG19" s="68">
        <f>BD19*100/BD48</f>
        <v>114.40494802902779</v>
      </c>
      <c r="BH19" s="69">
        <f t="shared" si="16"/>
        <v>111.37403565303258</v>
      </c>
      <c r="BI19" s="69">
        <f t="shared" si="17"/>
        <v>26.5702998065764</v>
      </c>
      <c r="BJ19" s="66">
        <f>2142947.82/1000</f>
        <v>2142.94782</v>
      </c>
      <c r="BK19" s="66">
        <f t="shared" si="18"/>
        <v>1160.8601408450704</v>
      </c>
      <c r="BL19" s="58">
        <f>BK19/BK52*100%</f>
        <v>1.7221015004143907</v>
      </c>
      <c r="BM19" s="68">
        <v>1</v>
      </c>
      <c r="BN19" s="73">
        <v>857.9</v>
      </c>
      <c r="BO19" s="71">
        <v>54.38</v>
      </c>
      <c r="BP19" s="58">
        <f>BO19/(BN19+BO19)</f>
        <v>0.05960889200684001</v>
      </c>
      <c r="BQ19" s="208">
        <v>1</v>
      </c>
      <c r="BR19" s="38">
        <v>1</v>
      </c>
      <c r="BS19" s="66">
        <v>65.562</v>
      </c>
      <c r="BT19" s="61">
        <f t="shared" si="19"/>
        <v>0.008128998660913555</v>
      </c>
      <c r="BU19" s="383">
        <f t="shared" si="20"/>
        <v>0.01625799732182711</v>
      </c>
      <c r="BV19" s="169">
        <v>0</v>
      </c>
      <c r="BW19" s="166">
        <f t="shared" si="21"/>
        <v>1</v>
      </c>
      <c r="BX19" s="393">
        <f>2+2+1</f>
        <v>5</v>
      </c>
      <c r="BY19" s="166">
        <f t="shared" si="22"/>
        <v>0.5833333333333333</v>
      </c>
      <c r="BZ19" s="394">
        <v>0</v>
      </c>
      <c r="CA19" s="381">
        <v>1</v>
      </c>
      <c r="CB19" s="394">
        <v>0</v>
      </c>
      <c r="CC19" s="28">
        <f t="shared" si="23"/>
        <v>1</v>
      </c>
      <c r="CD19" s="395">
        <v>0</v>
      </c>
      <c r="CE19" s="387">
        <f>1-CD19/1</f>
        <v>1</v>
      </c>
      <c r="CF19" s="73"/>
      <c r="CG19" s="28">
        <f t="shared" si="24"/>
        <v>1</v>
      </c>
      <c r="CH19" s="73"/>
      <c r="CI19" s="48"/>
      <c r="CJ19" s="36">
        <v>1</v>
      </c>
      <c r="CK19" s="28">
        <f t="shared" si="25"/>
        <v>0</v>
      </c>
      <c r="CL19" s="388">
        <f t="shared" si="26"/>
        <v>6</v>
      </c>
      <c r="CM19" s="28">
        <f t="shared" si="27"/>
        <v>0.7</v>
      </c>
      <c r="CN19" s="74"/>
      <c r="CO19" s="48">
        <f t="shared" si="28"/>
        <v>1</v>
      </c>
      <c r="CP19" s="66"/>
      <c r="CQ19" s="66">
        <f t="shared" si="29"/>
        <v>1</v>
      </c>
      <c r="CR19" s="394">
        <v>0</v>
      </c>
      <c r="CS19" s="38">
        <f t="shared" si="30"/>
        <v>1</v>
      </c>
      <c r="CT19" s="394">
        <v>1</v>
      </c>
      <c r="CU19" s="381">
        <f t="shared" si="31"/>
        <v>0.5</v>
      </c>
      <c r="CV19" s="393">
        <v>2</v>
      </c>
      <c r="CW19" s="165">
        <f t="shared" si="32"/>
        <v>0.6</v>
      </c>
      <c r="CX19" s="393">
        <f>1+2+2</f>
        <v>5</v>
      </c>
      <c r="CY19" s="165">
        <f t="shared" si="33"/>
        <v>0.5454545454545454</v>
      </c>
      <c r="CZ19" s="393">
        <v>0</v>
      </c>
      <c r="DA19" s="166">
        <f t="shared" si="34"/>
        <v>1</v>
      </c>
      <c r="DB19" s="388">
        <f t="shared" si="35"/>
        <v>8</v>
      </c>
      <c r="DC19" s="165">
        <f t="shared" si="36"/>
        <v>0.7037037037037037</v>
      </c>
      <c r="DD19" s="396">
        <v>0</v>
      </c>
      <c r="DE19" s="69">
        <v>1</v>
      </c>
      <c r="DF19" s="394">
        <v>1</v>
      </c>
      <c r="DG19" s="155">
        <f t="shared" si="37"/>
        <v>0.9285714285714286</v>
      </c>
      <c r="DH19" s="73">
        <v>6</v>
      </c>
      <c r="DI19" s="38">
        <f t="shared" si="38"/>
        <v>0.8666666666666667</v>
      </c>
      <c r="DJ19" s="66">
        <v>1</v>
      </c>
      <c r="DK19" s="69">
        <v>0</v>
      </c>
      <c r="DL19" s="394">
        <v>2</v>
      </c>
      <c r="DM19" s="397">
        <v>0.7</v>
      </c>
      <c r="DN19" s="385">
        <f t="shared" si="39"/>
        <v>10</v>
      </c>
      <c r="DO19" s="390">
        <f t="shared" si="40"/>
        <v>0.8387096774193549</v>
      </c>
      <c r="DP19" s="175">
        <v>145</v>
      </c>
      <c r="DQ19" s="166">
        <f>1-DP19/(1450)*100/100</f>
        <v>0.9</v>
      </c>
      <c r="DR19" s="66">
        <v>2</v>
      </c>
      <c r="DS19" s="28">
        <f t="shared" si="41"/>
        <v>0.5</v>
      </c>
      <c r="DT19" s="45">
        <v>1</v>
      </c>
      <c r="DU19" s="28">
        <v>1</v>
      </c>
      <c r="DV19" s="75"/>
      <c r="DW19" s="45">
        <v>1</v>
      </c>
      <c r="DX19" s="28">
        <v>1</v>
      </c>
      <c r="DY19" s="46"/>
      <c r="DZ19" s="45">
        <v>1</v>
      </c>
      <c r="EA19" s="28">
        <v>1</v>
      </c>
      <c r="EB19" s="76"/>
      <c r="EC19" s="45">
        <v>1</v>
      </c>
      <c r="ED19" s="69">
        <v>1</v>
      </c>
      <c r="EE19" s="49"/>
      <c r="EF19" s="49">
        <v>1</v>
      </c>
      <c r="EG19" s="69">
        <v>1</v>
      </c>
      <c r="EH19" s="49"/>
      <c r="EI19" s="49">
        <v>1</v>
      </c>
      <c r="EJ19" s="172">
        <v>1</v>
      </c>
      <c r="EK19" s="75"/>
      <c r="EL19" s="49"/>
      <c r="EM19" s="158"/>
      <c r="EN19" s="176"/>
      <c r="EO19" s="174"/>
      <c r="EP19" s="426">
        <f t="shared" si="42"/>
        <v>22.12619980157656</v>
      </c>
      <c r="EQ19" s="427">
        <f t="shared" si="43"/>
        <v>10</v>
      </c>
      <c r="ER19" s="430">
        <f t="shared" si="44"/>
        <v>1.617057655305351</v>
      </c>
      <c r="ES19" s="53" t="s">
        <v>117</v>
      </c>
      <c r="EU19" s="54">
        <v>22.12619982637446</v>
      </c>
      <c r="EV19" s="54">
        <v>9</v>
      </c>
      <c r="EW19" s="54">
        <v>1.552704073700215</v>
      </c>
      <c r="EX19" s="54" t="s">
        <v>117</v>
      </c>
    </row>
    <row r="20" spans="1:154" s="54" customFormat="1" ht="18.75">
      <c r="A20" s="55">
        <f t="shared" si="0"/>
        <v>11</v>
      </c>
      <c r="B20" s="56" t="s">
        <v>133</v>
      </c>
      <c r="C20" s="57">
        <v>0</v>
      </c>
      <c r="D20" s="158">
        <v>1</v>
      </c>
      <c r="E20" s="57">
        <v>0</v>
      </c>
      <c r="F20" s="158">
        <v>1</v>
      </c>
      <c r="G20" s="189">
        <v>4543.4</v>
      </c>
      <c r="H20" s="185">
        <v>4921.76718</v>
      </c>
      <c r="I20" s="58">
        <f t="shared" si="1"/>
        <v>-0.08327842144649386</v>
      </c>
      <c r="J20" s="151">
        <v>0.6</v>
      </c>
      <c r="K20" s="189">
        <v>4921.76718</v>
      </c>
      <c r="L20" s="185">
        <v>7847.75328</v>
      </c>
      <c r="M20" s="58">
        <f t="shared" si="2"/>
        <v>0.627156206929074</v>
      </c>
      <c r="N20" s="59">
        <v>0.8</v>
      </c>
      <c r="O20" s="189">
        <v>4921.76718</v>
      </c>
      <c r="P20" s="185">
        <v>4225.543</v>
      </c>
      <c r="Q20" s="58">
        <f t="shared" si="3"/>
        <v>1.164765612372185</v>
      </c>
      <c r="R20" s="28">
        <v>1</v>
      </c>
      <c r="S20" s="189">
        <v>4921.76718</v>
      </c>
      <c r="T20" s="185">
        <v>4951.01553</v>
      </c>
      <c r="U20" s="61">
        <f t="shared" si="4"/>
        <v>0.994092454401976</v>
      </c>
      <c r="V20" s="155">
        <v>0</v>
      </c>
      <c r="W20" s="189">
        <v>529.0768</v>
      </c>
      <c r="X20" s="185">
        <v>890.9126</v>
      </c>
      <c r="Y20" s="61">
        <f t="shared" si="5"/>
        <v>1.6839003335621594</v>
      </c>
      <c r="Z20" s="155">
        <v>0</v>
      </c>
      <c r="AA20" s="189">
        <v>890.9126</v>
      </c>
      <c r="AB20" s="185">
        <v>4088.35474</v>
      </c>
      <c r="AC20" s="61">
        <f t="shared" si="6"/>
        <v>0.2179147008167887</v>
      </c>
      <c r="AD20" s="181">
        <f t="shared" si="7"/>
        <v>0.7820852991832112</v>
      </c>
      <c r="AE20" s="184">
        <v>2925.9861</v>
      </c>
      <c r="AF20" s="185">
        <v>7847.75328</v>
      </c>
      <c r="AG20" s="185">
        <v>124.2</v>
      </c>
      <c r="AH20" s="58">
        <f t="shared" si="8"/>
        <v>0.37883937533994716</v>
      </c>
      <c r="AI20" s="60">
        <v>0.8</v>
      </c>
      <c r="AJ20" s="195">
        <v>4000.9</v>
      </c>
      <c r="AK20" s="196">
        <v>1594</v>
      </c>
      <c r="AL20" s="196">
        <f t="shared" si="9"/>
        <v>2406.9</v>
      </c>
      <c r="AM20" s="147">
        <v>0</v>
      </c>
      <c r="AN20" s="66">
        <v>2131.7</v>
      </c>
      <c r="AO20" s="66">
        <v>2426.5</v>
      </c>
      <c r="AP20" s="58">
        <f t="shared" si="10"/>
        <v>0.8785081392952812</v>
      </c>
      <c r="AQ20" s="391">
        <v>1</v>
      </c>
      <c r="AR20" s="434">
        <f t="shared" si="11"/>
        <v>2.7025007127385385</v>
      </c>
      <c r="AS20" s="434">
        <v>10341.87</v>
      </c>
      <c r="AT20" s="66">
        <v>10341.9</v>
      </c>
      <c r="AU20" s="66">
        <v>3387.2</v>
      </c>
      <c r="AV20" s="26">
        <f t="shared" si="12"/>
        <v>0.3275229721510713</v>
      </c>
      <c r="AW20" s="35">
        <v>1</v>
      </c>
      <c r="AX20" s="66">
        <v>1923.64</v>
      </c>
      <c r="AY20" s="66">
        <f t="shared" si="13"/>
        <v>90.23971478162969</v>
      </c>
      <c r="AZ20" s="66">
        <f t="shared" si="14"/>
        <v>56.7914501653283</v>
      </c>
      <c r="BA20" s="35">
        <v>0</v>
      </c>
      <c r="BB20" s="35">
        <v>1</v>
      </c>
      <c r="BC20" s="392">
        <v>2347</v>
      </c>
      <c r="BD20" s="36">
        <f t="shared" si="15"/>
        <v>4406.420962931402</v>
      </c>
      <c r="BE20" s="58">
        <f>BD20/BD52*100%</f>
        <v>1.1538389469905554</v>
      </c>
      <c r="BF20" s="35">
        <v>1</v>
      </c>
      <c r="BG20" s="68">
        <f>BD20*100/BD51</f>
        <v>115.38389469905555</v>
      </c>
      <c r="BH20" s="69">
        <f t="shared" si="16"/>
        <v>58.1160350893653</v>
      </c>
      <c r="BI20" s="69">
        <f t="shared" si="17"/>
        <v>11.979032092748914</v>
      </c>
      <c r="BJ20" s="66">
        <f>1238859.52/1000</f>
        <v>1238.85952</v>
      </c>
      <c r="BK20" s="66">
        <f t="shared" si="18"/>
        <v>527.8481124840222</v>
      </c>
      <c r="BL20" s="58">
        <f>BK20/BK52*100%</f>
        <v>0.7830469791459191</v>
      </c>
      <c r="BM20" s="68">
        <v>0</v>
      </c>
      <c r="BN20" s="73">
        <v>0</v>
      </c>
      <c r="BO20" s="71">
        <v>0</v>
      </c>
      <c r="BP20" s="58"/>
      <c r="BQ20" s="208"/>
      <c r="BR20" s="38">
        <v>1</v>
      </c>
      <c r="BS20" s="66">
        <v>1250.607</v>
      </c>
      <c r="BT20" s="61">
        <f t="shared" si="19"/>
        <v>0.12092623212369101</v>
      </c>
      <c r="BU20" s="383">
        <f t="shared" si="20"/>
        <v>0.24185246424738202</v>
      </c>
      <c r="BV20" s="169">
        <v>0.9742866761891249</v>
      </c>
      <c r="BW20" s="166">
        <f t="shared" si="21"/>
        <v>0.9902571332381087</v>
      </c>
      <c r="BX20" s="393">
        <f>1+1+1</f>
        <v>3</v>
      </c>
      <c r="BY20" s="166">
        <f t="shared" si="22"/>
        <v>0.75</v>
      </c>
      <c r="BZ20" s="394">
        <v>0</v>
      </c>
      <c r="CA20" s="381">
        <v>1</v>
      </c>
      <c r="CB20" s="394">
        <v>1</v>
      </c>
      <c r="CC20" s="28">
        <f t="shared" si="23"/>
        <v>0.75</v>
      </c>
      <c r="CD20" s="395">
        <v>1</v>
      </c>
      <c r="CE20" s="387">
        <v>0.5</v>
      </c>
      <c r="CF20" s="73"/>
      <c r="CG20" s="28">
        <f t="shared" si="24"/>
        <v>1</v>
      </c>
      <c r="CH20" s="73"/>
      <c r="CI20" s="48"/>
      <c r="CJ20" s="36"/>
      <c r="CK20" s="28">
        <f t="shared" si="25"/>
        <v>1</v>
      </c>
      <c r="CL20" s="388">
        <f t="shared" si="26"/>
        <v>5</v>
      </c>
      <c r="CM20" s="28">
        <f t="shared" si="27"/>
        <v>0.75</v>
      </c>
      <c r="CN20" s="74"/>
      <c r="CO20" s="48">
        <f t="shared" si="28"/>
        <v>1</v>
      </c>
      <c r="CP20" s="66"/>
      <c r="CQ20" s="66">
        <f t="shared" si="29"/>
        <v>1</v>
      </c>
      <c r="CR20" s="394">
        <v>0</v>
      </c>
      <c r="CS20" s="38">
        <f t="shared" si="30"/>
        <v>1</v>
      </c>
      <c r="CT20" s="394">
        <v>1</v>
      </c>
      <c r="CU20" s="381">
        <f t="shared" si="31"/>
        <v>0.5</v>
      </c>
      <c r="CV20" s="393"/>
      <c r="CW20" s="165">
        <f t="shared" si="32"/>
        <v>1</v>
      </c>
      <c r="CX20" s="393">
        <f>3+2+2</f>
        <v>7</v>
      </c>
      <c r="CY20" s="165">
        <f t="shared" si="33"/>
        <v>0.36363636363636365</v>
      </c>
      <c r="CZ20" s="393">
        <v>0</v>
      </c>
      <c r="DA20" s="166">
        <f t="shared" si="34"/>
        <v>1</v>
      </c>
      <c r="DB20" s="388">
        <f t="shared" si="35"/>
        <v>8</v>
      </c>
      <c r="DC20" s="165">
        <f t="shared" si="36"/>
        <v>0.7037037037037037</v>
      </c>
      <c r="DD20" s="396">
        <v>1</v>
      </c>
      <c r="DE20" s="69">
        <v>0.5</v>
      </c>
      <c r="DF20" s="394">
        <v>7</v>
      </c>
      <c r="DG20" s="155">
        <f t="shared" si="37"/>
        <v>0.5</v>
      </c>
      <c r="DH20" s="73">
        <v>2</v>
      </c>
      <c r="DI20" s="38">
        <f t="shared" si="38"/>
        <v>0.9555555555555556</v>
      </c>
      <c r="DJ20" s="66">
        <v>1</v>
      </c>
      <c r="DK20" s="69">
        <v>0</v>
      </c>
      <c r="DL20" s="394">
        <v>4</v>
      </c>
      <c r="DM20" s="397">
        <v>0.3</v>
      </c>
      <c r="DN20" s="385">
        <f t="shared" si="39"/>
        <v>15</v>
      </c>
      <c r="DO20" s="390">
        <f t="shared" si="40"/>
        <v>0.7580645161290323</v>
      </c>
      <c r="DP20" s="175">
        <v>50</v>
      </c>
      <c r="DQ20" s="166">
        <f>1-DP20/(949)*100/100</f>
        <v>0.9473129610115911</v>
      </c>
      <c r="DR20" s="66">
        <v>1</v>
      </c>
      <c r="DS20" s="28">
        <f t="shared" si="41"/>
        <v>0.75</v>
      </c>
      <c r="DT20" s="45">
        <v>1</v>
      </c>
      <c r="DU20" s="28">
        <v>1</v>
      </c>
      <c r="DV20" s="75"/>
      <c r="DW20" s="45">
        <v>1</v>
      </c>
      <c r="DX20" s="28">
        <v>1</v>
      </c>
      <c r="DY20" s="46"/>
      <c r="DZ20" s="45">
        <v>1</v>
      </c>
      <c r="EA20" s="28">
        <v>1</v>
      </c>
      <c r="EB20" s="76"/>
      <c r="EC20" s="45">
        <v>1</v>
      </c>
      <c r="ED20" s="69">
        <v>1</v>
      </c>
      <c r="EE20" s="49"/>
      <c r="EF20" s="49">
        <v>1</v>
      </c>
      <c r="EG20" s="69">
        <v>1</v>
      </c>
      <c r="EH20" s="49"/>
      <c r="EI20" s="49">
        <f>0+1</f>
        <v>1</v>
      </c>
      <c r="EJ20" s="172">
        <v>1</v>
      </c>
      <c r="EK20" s="75"/>
      <c r="EL20" s="49"/>
      <c r="EM20" s="158"/>
      <c r="EN20" s="176"/>
      <c r="EO20" s="174"/>
      <c r="EP20" s="426">
        <f t="shared" si="42"/>
        <v>22.123276077513026</v>
      </c>
      <c r="EQ20" s="427">
        <f t="shared" si="43"/>
        <v>11</v>
      </c>
      <c r="ER20" s="430">
        <f t="shared" si="44"/>
        <v>1.617057655305351</v>
      </c>
      <c r="ES20" s="53" t="s">
        <v>117</v>
      </c>
      <c r="EU20" s="54">
        <v>22.003913579326042</v>
      </c>
      <c r="EV20" s="54">
        <v>10</v>
      </c>
      <c r="EW20" s="54">
        <v>1.552704073700215</v>
      </c>
      <c r="EX20" s="54" t="s">
        <v>117</v>
      </c>
    </row>
    <row r="21" spans="1:154" s="54" customFormat="1" ht="18.75">
      <c r="A21" s="55">
        <f t="shared" si="0"/>
        <v>12</v>
      </c>
      <c r="B21" s="56" t="s">
        <v>131</v>
      </c>
      <c r="C21" s="57">
        <v>0</v>
      </c>
      <c r="D21" s="158">
        <v>1</v>
      </c>
      <c r="E21" s="57">
        <v>0</v>
      </c>
      <c r="F21" s="158">
        <v>1</v>
      </c>
      <c r="G21" s="189">
        <v>9575.8</v>
      </c>
      <c r="H21" s="185">
        <v>6712.00074</v>
      </c>
      <c r="I21" s="58">
        <f t="shared" si="1"/>
        <v>0.2990663192631424</v>
      </c>
      <c r="J21" s="151">
        <v>0</v>
      </c>
      <c r="K21" s="189">
        <v>6712.00074</v>
      </c>
      <c r="L21" s="185">
        <v>16196.11282</v>
      </c>
      <c r="M21" s="58">
        <f t="shared" si="2"/>
        <v>0.4144204732700794</v>
      </c>
      <c r="N21" s="59">
        <v>0.5</v>
      </c>
      <c r="O21" s="189">
        <v>6712.00074</v>
      </c>
      <c r="P21" s="185">
        <v>6905.58673</v>
      </c>
      <c r="Q21" s="58">
        <f t="shared" si="3"/>
        <v>0.9719667571244884</v>
      </c>
      <c r="R21" s="28">
        <v>1</v>
      </c>
      <c r="S21" s="189">
        <v>6712.00074</v>
      </c>
      <c r="T21" s="185">
        <v>4122.30338</v>
      </c>
      <c r="U21" s="61">
        <f t="shared" si="4"/>
        <v>1.6282161018435282</v>
      </c>
      <c r="V21" s="155">
        <v>1</v>
      </c>
      <c r="W21" s="189">
        <v>2484.6646</v>
      </c>
      <c r="X21" s="185">
        <v>1136.4411</v>
      </c>
      <c r="Y21" s="61">
        <f t="shared" si="5"/>
        <v>0.4573820949515681</v>
      </c>
      <c r="Z21" s="155">
        <v>0.54</v>
      </c>
      <c r="AA21" s="189">
        <v>1136.4411</v>
      </c>
      <c r="AB21" s="185">
        <v>4663.44645</v>
      </c>
      <c r="AC21" s="61">
        <f t="shared" si="6"/>
        <v>0.24369125113466242</v>
      </c>
      <c r="AD21" s="181">
        <f t="shared" si="7"/>
        <v>0.7563087488653376</v>
      </c>
      <c r="AE21" s="184">
        <v>9484.11208</v>
      </c>
      <c r="AF21" s="185">
        <v>16196.11282</v>
      </c>
      <c r="AG21" s="185">
        <v>321.54</v>
      </c>
      <c r="AH21" s="58">
        <f t="shared" si="8"/>
        <v>0.597440459503338</v>
      </c>
      <c r="AI21" s="60">
        <v>0.5</v>
      </c>
      <c r="AJ21" s="195">
        <v>268.2</v>
      </c>
      <c r="AK21" s="196">
        <v>443.1</v>
      </c>
      <c r="AL21" s="196">
        <f t="shared" si="9"/>
        <v>-174.90000000000003</v>
      </c>
      <c r="AM21" s="147">
        <v>1</v>
      </c>
      <c r="AN21" s="66">
        <v>2542.5</v>
      </c>
      <c r="AO21" s="66">
        <v>3604.1</v>
      </c>
      <c r="AP21" s="58">
        <f t="shared" si="10"/>
        <v>0.7054465747343304</v>
      </c>
      <c r="AQ21" s="391">
        <v>1</v>
      </c>
      <c r="AR21" s="434">
        <f t="shared" si="11"/>
        <v>4.216589940025436</v>
      </c>
      <c r="AS21" s="434">
        <v>16136.02</v>
      </c>
      <c r="AT21" s="66">
        <v>16136</v>
      </c>
      <c r="AU21" s="66">
        <v>6007.9</v>
      </c>
      <c r="AV21" s="26">
        <f t="shared" si="12"/>
        <v>0.3723284924039509</v>
      </c>
      <c r="AW21" s="35">
        <v>1</v>
      </c>
      <c r="AX21" s="66">
        <v>2454.23</v>
      </c>
      <c r="AY21" s="66">
        <f t="shared" si="13"/>
        <v>96.52822025565388</v>
      </c>
      <c r="AZ21" s="66">
        <f t="shared" si="14"/>
        <v>40.850047437540574</v>
      </c>
      <c r="BA21" s="35">
        <v>0</v>
      </c>
      <c r="BB21" s="35">
        <v>1</v>
      </c>
      <c r="BC21" s="392">
        <v>6685</v>
      </c>
      <c r="BD21" s="36">
        <f t="shared" si="15"/>
        <v>2413.7651458489154</v>
      </c>
      <c r="BE21" s="58">
        <f>BD21/BD57*100%</f>
        <v>0.6320540542082054</v>
      </c>
      <c r="BF21" s="35">
        <v>0</v>
      </c>
      <c r="BG21" s="68">
        <f>BD21*100/BD54</f>
        <v>63.20540542082054</v>
      </c>
      <c r="BH21" s="69">
        <f t="shared" si="16"/>
        <v>139.10756302851527</v>
      </c>
      <c r="BI21" s="69">
        <f t="shared" si="17"/>
        <v>21.918751797223603</v>
      </c>
      <c r="BJ21" s="66">
        <f>3536809.79/1000</f>
        <v>3536.8097900000002</v>
      </c>
      <c r="BK21" s="66">
        <f t="shared" si="18"/>
        <v>529.0665355273</v>
      </c>
      <c r="BL21" s="58">
        <f>BK21/BK57*100%</f>
        <v>0.784854473500442</v>
      </c>
      <c r="BM21" s="68">
        <v>0</v>
      </c>
      <c r="BN21" s="73">
        <v>861.9</v>
      </c>
      <c r="BO21" s="71">
        <v>273.21</v>
      </c>
      <c r="BP21" s="58">
        <f>BO21/(BN21+BO21)</f>
        <v>0.24069032957158337</v>
      </c>
      <c r="BQ21" s="208">
        <v>1</v>
      </c>
      <c r="BR21" s="38">
        <v>1</v>
      </c>
      <c r="BS21" s="66">
        <v>3285.57563</v>
      </c>
      <c r="BT21" s="61">
        <f t="shared" si="19"/>
        <v>0.2036177262022806</v>
      </c>
      <c r="BU21" s="383">
        <f t="shared" si="20"/>
        <v>0.4072354524045612</v>
      </c>
      <c r="BV21" s="169">
        <v>0.6703077442774636</v>
      </c>
      <c r="BW21" s="166">
        <f t="shared" si="21"/>
        <v>0.9932969225572253</v>
      </c>
      <c r="BX21" s="393">
        <f>4+3+2</f>
        <v>9</v>
      </c>
      <c r="BY21" s="166">
        <f t="shared" si="22"/>
        <v>0.25</v>
      </c>
      <c r="BZ21" s="394">
        <v>0</v>
      </c>
      <c r="CA21" s="381">
        <v>1</v>
      </c>
      <c r="CB21" s="394">
        <v>1</v>
      </c>
      <c r="CC21" s="28">
        <f t="shared" si="23"/>
        <v>0.75</v>
      </c>
      <c r="CD21" s="395">
        <v>1</v>
      </c>
      <c r="CE21" s="387">
        <v>0.5</v>
      </c>
      <c r="CF21" s="73"/>
      <c r="CG21" s="28">
        <f t="shared" si="24"/>
        <v>1</v>
      </c>
      <c r="CH21" s="73"/>
      <c r="CI21" s="48"/>
      <c r="CJ21" s="36">
        <v>1</v>
      </c>
      <c r="CK21" s="28">
        <f t="shared" si="25"/>
        <v>0</v>
      </c>
      <c r="CL21" s="388">
        <f t="shared" si="26"/>
        <v>12</v>
      </c>
      <c r="CM21" s="28">
        <f t="shared" si="27"/>
        <v>0.4</v>
      </c>
      <c r="CN21" s="74"/>
      <c r="CO21" s="48">
        <f t="shared" si="28"/>
        <v>1</v>
      </c>
      <c r="CP21" s="66"/>
      <c r="CQ21" s="66">
        <f t="shared" si="29"/>
        <v>1</v>
      </c>
      <c r="CR21" s="394">
        <v>0</v>
      </c>
      <c r="CS21" s="38">
        <f t="shared" si="30"/>
        <v>1</v>
      </c>
      <c r="CT21" s="394">
        <v>0</v>
      </c>
      <c r="CU21" s="381">
        <f t="shared" si="31"/>
        <v>1</v>
      </c>
      <c r="CV21" s="393">
        <v>1</v>
      </c>
      <c r="CW21" s="165">
        <f t="shared" si="32"/>
        <v>0.8</v>
      </c>
      <c r="CX21" s="393">
        <f>2+4+1+3</f>
        <v>10</v>
      </c>
      <c r="CY21" s="165">
        <f t="shared" si="33"/>
        <v>0.09090909090909094</v>
      </c>
      <c r="CZ21" s="393">
        <v>7</v>
      </c>
      <c r="DA21" s="166">
        <f t="shared" si="34"/>
        <v>0.125</v>
      </c>
      <c r="DB21" s="388">
        <f t="shared" si="35"/>
        <v>18</v>
      </c>
      <c r="DC21" s="165">
        <f t="shared" si="36"/>
        <v>0.33333333333333337</v>
      </c>
      <c r="DD21" s="396">
        <v>0</v>
      </c>
      <c r="DE21" s="69">
        <v>0.5</v>
      </c>
      <c r="DF21" s="394">
        <v>4</v>
      </c>
      <c r="DG21" s="155">
        <f t="shared" si="37"/>
        <v>0.7142857142857143</v>
      </c>
      <c r="DH21" s="73">
        <v>1</v>
      </c>
      <c r="DI21" s="38">
        <f t="shared" si="38"/>
        <v>0.9777777777777777</v>
      </c>
      <c r="DJ21" s="66">
        <v>0</v>
      </c>
      <c r="DK21" s="69">
        <v>0</v>
      </c>
      <c r="DL21" s="394">
        <v>3</v>
      </c>
      <c r="DM21" s="397">
        <v>0</v>
      </c>
      <c r="DN21" s="385">
        <f t="shared" si="39"/>
        <v>8</v>
      </c>
      <c r="DO21" s="390">
        <f t="shared" si="40"/>
        <v>0.8709677419354839</v>
      </c>
      <c r="DP21" s="175">
        <v>202</v>
      </c>
      <c r="DQ21" s="166">
        <f>1-DP21/(2018)*100/100</f>
        <v>0.8999008919722498</v>
      </c>
      <c r="DR21" s="66">
        <v>1</v>
      </c>
      <c r="DS21" s="28">
        <f t="shared" si="41"/>
        <v>0.75</v>
      </c>
      <c r="DT21" s="45">
        <v>1</v>
      </c>
      <c r="DU21" s="28">
        <v>1</v>
      </c>
      <c r="DV21" s="75"/>
      <c r="DW21" s="45">
        <v>1</v>
      </c>
      <c r="DX21" s="28">
        <v>1</v>
      </c>
      <c r="DY21" s="46"/>
      <c r="DZ21" s="45">
        <v>1</v>
      </c>
      <c r="EA21" s="28">
        <v>1</v>
      </c>
      <c r="EB21" s="76"/>
      <c r="EC21" s="45">
        <v>1</v>
      </c>
      <c r="ED21" s="69">
        <v>1</v>
      </c>
      <c r="EE21" s="49"/>
      <c r="EF21" s="49">
        <v>1</v>
      </c>
      <c r="EG21" s="69">
        <v>1</v>
      </c>
      <c r="EH21" s="49"/>
      <c r="EI21" s="49">
        <v>1</v>
      </c>
      <c r="EJ21" s="172">
        <v>1</v>
      </c>
      <c r="EK21" s="75"/>
      <c r="EL21" s="49"/>
      <c r="EM21" s="158"/>
      <c r="EN21" s="176"/>
      <c r="EO21" s="174"/>
      <c r="EP21" s="426">
        <f t="shared" si="42"/>
        <v>21.951043091068193</v>
      </c>
      <c r="EQ21" s="427">
        <f t="shared" si="43"/>
        <v>12</v>
      </c>
      <c r="ER21" s="430">
        <f t="shared" si="44"/>
        <v>1.617057655305351</v>
      </c>
      <c r="ES21" s="53" t="s">
        <v>117</v>
      </c>
      <c r="EU21" s="54">
        <v>21.545696582639835</v>
      </c>
      <c r="EV21" s="54">
        <v>13</v>
      </c>
      <c r="EW21" s="54">
        <v>1.552704073700215</v>
      </c>
      <c r="EX21" s="54" t="s">
        <v>117</v>
      </c>
    </row>
    <row r="22" spans="1:154" s="54" customFormat="1" ht="37.5">
      <c r="A22" s="55">
        <f t="shared" si="0"/>
        <v>13</v>
      </c>
      <c r="B22" s="56" t="s">
        <v>140</v>
      </c>
      <c r="C22" s="57">
        <v>0</v>
      </c>
      <c r="D22" s="158">
        <v>1</v>
      </c>
      <c r="E22" s="57">
        <v>0</v>
      </c>
      <c r="F22" s="158">
        <v>1</v>
      </c>
      <c r="G22" s="189">
        <v>6736.713</v>
      </c>
      <c r="H22" s="185">
        <v>6527.9089</v>
      </c>
      <c r="I22" s="58">
        <f t="shared" si="1"/>
        <v>0.030994952582958393</v>
      </c>
      <c r="J22" s="151">
        <v>0.8</v>
      </c>
      <c r="K22" s="189">
        <v>6527.9089</v>
      </c>
      <c r="L22" s="185">
        <v>9039.76762</v>
      </c>
      <c r="M22" s="58">
        <f t="shared" si="2"/>
        <v>0.7221323793276889</v>
      </c>
      <c r="N22" s="159">
        <v>1</v>
      </c>
      <c r="O22" s="189">
        <v>6527.9089</v>
      </c>
      <c r="P22" s="185">
        <v>5464.68899</v>
      </c>
      <c r="Q22" s="58">
        <f t="shared" si="3"/>
        <v>1.1945618336094916</v>
      </c>
      <c r="R22" s="28">
        <v>1</v>
      </c>
      <c r="S22" s="189">
        <v>6527.9089</v>
      </c>
      <c r="T22" s="185">
        <v>3991.50538</v>
      </c>
      <c r="U22" s="61">
        <f t="shared" si="4"/>
        <v>1.6354503573285928</v>
      </c>
      <c r="V22" s="155">
        <v>1</v>
      </c>
      <c r="W22" s="189">
        <v>1846.5892</v>
      </c>
      <c r="X22" s="185">
        <v>2148.6243</v>
      </c>
      <c r="Y22" s="61">
        <f t="shared" si="5"/>
        <v>1.1635637747691798</v>
      </c>
      <c r="Z22" s="155">
        <v>0</v>
      </c>
      <c r="AA22" s="189">
        <v>2148.6243</v>
      </c>
      <c r="AB22" s="185">
        <v>5715.41061</v>
      </c>
      <c r="AC22" s="61">
        <f t="shared" si="6"/>
        <v>0.3759352471090437</v>
      </c>
      <c r="AD22" s="181">
        <f t="shared" si="7"/>
        <v>0.6240647528909563</v>
      </c>
      <c r="AE22" s="184">
        <v>2511.85872</v>
      </c>
      <c r="AF22" s="185">
        <v>9039.76762</v>
      </c>
      <c r="AG22" s="185">
        <v>101.89</v>
      </c>
      <c r="AH22" s="58">
        <f t="shared" si="8"/>
        <v>0.28103525543684943</v>
      </c>
      <c r="AI22" s="158">
        <v>1</v>
      </c>
      <c r="AJ22" s="197">
        <v>374.8</v>
      </c>
      <c r="AK22" s="185">
        <v>342.5</v>
      </c>
      <c r="AL22" s="185">
        <f t="shared" si="9"/>
        <v>32.30000000000001</v>
      </c>
      <c r="AM22" s="147">
        <v>0</v>
      </c>
      <c r="AN22" s="66">
        <v>1863.9</v>
      </c>
      <c r="AO22" s="66">
        <v>2426.5</v>
      </c>
      <c r="AP22" s="58">
        <f t="shared" si="10"/>
        <v>0.7681434164434371</v>
      </c>
      <c r="AQ22" s="391">
        <v>1</v>
      </c>
      <c r="AR22" s="434">
        <f t="shared" si="11"/>
        <v>2.097659421515009</v>
      </c>
      <c r="AS22" s="434">
        <v>8027.33</v>
      </c>
      <c r="AT22" s="66">
        <v>8027.3</v>
      </c>
      <c r="AU22" s="66">
        <v>4467.2</v>
      </c>
      <c r="AV22" s="26">
        <f t="shared" si="12"/>
        <v>0.556498860766905</v>
      </c>
      <c r="AW22" s="35">
        <v>0.8</v>
      </c>
      <c r="AX22" s="66">
        <v>1801.28</v>
      </c>
      <c r="AY22" s="66">
        <f t="shared" si="13"/>
        <v>96.64037770266644</v>
      </c>
      <c r="AZ22" s="66">
        <f t="shared" si="14"/>
        <v>40.32234957020057</v>
      </c>
      <c r="BA22" s="35">
        <v>0</v>
      </c>
      <c r="BB22" s="35">
        <v>1</v>
      </c>
      <c r="BC22" s="392">
        <v>2185</v>
      </c>
      <c r="BD22" s="36">
        <f t="shared" si="15"/>
        <v>3673.8352402745995</v>
      </c>
      <c r="BE22" s="58">
        <f>BD22/BD53*100%</f>
        <v>0.9620084464728955</v>
      </c>
      <c r="BF22" s="35">
        <v>0.9</v>
      </c>
      <c r="BG22" s="68">
        <f>BD22*100/BD53</f>
        <v>96.20084464728956</v>
      </c>
      <c r="BH22" s="69">
        <f t="shared" si="16"/>
        <v>86.0753216374269</v>
      </c>
      <c r="BI22" s="69">
        <f t="shared" si="17"/>
        <v>19.98627085072191</v>
      </c>
      <c r="BJ22" s="66">
        <f>1604357.92/1000</f>
        <v>1604.35792</v>
      </c>
      <c r="BK22" s="66">
        <f t="shared" si="18"/>
        <v>734.2599176201372</v>
      </c>
      <c r="BL22" s="58">
        <f>BK22/BK53*100%</f>
        <v>1.0892527543475563</v>
      </c>
      <c r="BM22" s="68">
        <v>1</v>
      </c>
      <c r="BN22" s="73">
        <v>322.8</v>
      </c>
      <c r="BO22" s="71">
        <v>195.07</v>
      </c>
      <c r="BP22" s="58">
        <f>BO22/(BN22+BO22)</f>
        <v>0.3766775445575144</v>
      </c>
      <c r="BQ22" s="208">
        <v>1</v>
      </c>
      <c r="BR22" s="38">
        <v>1</v>
      </c>
      <c r="BS22" s="66"/>
      <c r="BT22" s="61">
        <f t="shared" si="19"/>
        <v>0</v>
      </c>
      <c r="BU22" s="383">
        <f t="shared" si="20"/>
        <v>0</v>
      </c>
      <c r="BV22" s="169">
        <v>0</v>
      </c>
      <c r="BW22" s="166">
        <f t="shared" si="21"/>
        <v>1</v>
      </c>
      <c r="BX22" s="393">
        <f>2+2+2</f>
        <v>6</v>
      </c>
      <c r="BY22" s="166">
        <f t="shared" si="22"/>
        <v>0.5</v>
      </c>
      <c r="BZ22" s="394">
        <v>2</v>
      </c>
      <c r="CA22" s="381">
        <v>0</v>
      </c>
      <c r="CB22" s="394">
        <v>4</v>
      </c>
      <c r="CC22" s="28">
        <f t="shared" si="23"/>
        <v>0</v>
      </c>
      <c r="CD22" s="395">
        <v>1</v>
      </c>
      <c r="CE22" s="387">
        <v>0.5</v>
      </c>
      <c r="CF22" s="73"/>
      <c r="CG22" s="28">
        <f t="shared" si="24"/>
        <v>1</v>
      </c>
      <c r="CH22" s="73"/>
      <c r="CI22" s="48"/>
      <c r="CJ22" s="36"/>
      <c r="CK22" s="28">
        <f t="shared" si="25"/>
        <v>1</v>
      </c>
      <c r="CL22" s="388">
        <f t="shared" si="26"/>
        <v>13</v>
      </c>
      <c r="CM22" s="28">
        <f t="shared" si="27"/>
        <v>0.35</v>
      </c>
      <c r="CN22" s="74"/>
      <c r="CO22" s="48">
        <f t="shared" si="28"/>
        <v>1</v>
      </c>
      <c r="CP22" s="66"/>
      <c r="CQ22" s="66">
        <f t="shared" si="29"/>
        <v>1</v>
      </c>
      <c r="CR22" s="394">
        <v>2</v>
      </c>
      <c r="CS22" s="38">
        <f t="shared" si="30"/>
        <v>0.33333333333333337</v>
      </c>
      <c r="CT22" s="394">
        <v>2</v>
      </c>
      <c r="CU22" s="381">
        <f t="shared" si="31"/>
        <v>0</v>
      </c>
      <c r="CV22" s="393">
        <v>2</v>
      </c>
      <c r="CW22" s="165">
        <f t="shared" si="32"/>
        <v>0.6</v>
      </c>
      <c r="CX22" s="393">
        <f>4+2+2+3</f>
        <v>11</v>
      </c>
      <c r="CY22" s="165">
        <f t="shared" si="33"/>
        <v>0</v>
      </c>
      <c r="CZ22" s="393">
        <v>2</v>
      </c>
      <c r="DA22" s="166">
        <f t="shared" si="34"/>
        <v>0.75</v>
      </c>
      <c r="DB22" s="388">
        <f t="shared" si="35"/>
        <v>19</v>
      </c>
      <c r="DC22" s="165">
        <f t="shared" si="36"/>
        <v>0.2962962962962963</v>
      </c>
      <c r="DD22" s="396">
        <v>1</v>
      </c>
      <c r="DE22" s="69">
        <v>0.5</v>
      </c>
      <c r="DF22" s="394">
        <v>10</v>
      </c>
      <c r="DG22" s="155">
        <f t="shared" si="37"/>
        <v>0.2857142857142857</v>
      </c>
      <c r="DH22" s="73">
        <v>28</v>
      </c>
      <c r="DI22" s="38">
        <f t="shared" si="38"/>
        <v>0.37777777777777777</v>
      </c>
      <c r="DJ22" s="66">
        <v>1</v>
      </c>
      <c r="DK22" s="69">
        <v>0</v>
      </c>
      <c r="DL22" s="394">
        <v>5</v>
      </c>
      <c r="DM22" s="397">
        <v>0.7</v>
      </c>
      <c r="DN22" s="385">
        <f t="shared" si="39"/>
        <v>45</v>
      </c>
      <c r="DO22" s="390">
        <f t="shared" si="40"/>
        <v>0.27419354838709675</v>
      </c>
      <c r="DP22" s="175">
        <v>699</v>
      </c>
      <c r="DQ22" s="166">
        <f>1-DP22/(1748)*100/100</f>
        <v>0.6001144164759725</v>
      </c>
      <c r="DR22" s="66">
        <v>3</v>
      </c>
      <c r="DS22" s="28">
        <f t="shared" si="41"/>
        <v>0.25</v>
      </c>
      <c r="DT22" s="45">
        <v>1</v>
      </c>
      <c r="DU22" s="28">
        <v>1</v>
      </c>
      <c r="DV22" s="75"/>
      <c r="DW22" s="45">
        <v>1</v>
      </c>
      <c r="DX22" s="28">
        <v>1</v>
      </c>
      <c r="DY22" s="46"/>
      <c r="DZ22" s="45">
        <v>1</v>
      </c>
      <c r="EA22" s="28">
        <v>1</v>
      </c>
      <c r="EB22" s="76"/>
      <c r="EC22" s="45">
        <v>1</v>
      </c>
      <c r="ED22" s="69">
        <v>1</v>
      </c>
      <c r="EE22" s="49"/>
      <c r="EF22" s="49">
        <v>1</v>
      </c>
      <c r="EG22" s="69">
        <v>1</v>
      </c>
      <c r="EH22" s="49"/>
      <c r="EI22" s="49">
        <v>1</v>
      </c>
      <c r="EJ22" s="172">
        <v>1</v>
      </c>
      <c r="EK22" s="75"/>
      <c r="EL22" s="49"/>
      <c r="EM22" s="158"/>
      <c r="EN22" s="176"/>
      <c r="EO22" s="174"/>
      <c r="EP22" s="426">
        <f t="shared" si="42"/>
        <v>21.894669014050322</v>
      </c>
      <c r="EQ22" s="427">
        <f t="shared" si="43"/>
        <v>13</v>
      </c>
      <c r="ER22" s="430">
        <f t="shared" si="44"/>
        <v>1.617057655305351</v>
      </c>
      <c r="ES22" s="53" t="s">
        <v>117</v>
      </c>
      <c r="EU22" s="54">
        <v>21.894669014050322</v>
      </c>
      <c r="EV22" s="54">
        <v>12</v>
      </c>
      <c r="EW22" s="54">
        <v>1.552704073700215</v>
      </c>
      <c r="EX22" s="54" t="s">
        <v>117</v>
      </c>
    </row>
    <row r="23" spans="1:154" s="54" customFormat="1" ht="18.75">
      <c r="A23" s="55">
        <f t="shared" si="0"/>
        <v>14</v>
      </c>
      <c r="B23" s="56" t="s">
        <v>123</v>
      </c>
      <c r="C23" s="57">
        <v>0</v>
      </c>
      <c r="D23" s="158">
        <v>1</v>
      </c>
      <c r="E23" s="57">
        <v>0</v>
      </c>
      <c r="F23" s="158">
        <v>1</v>
      </c>
      <c r="G23" s="189">
        <v>2854.7</v>
      </c>
      <c r="H23" s="185">
        <v>2762.71304</v>
      </c>
      <c r="I23" s="58">
        <f t="shared" si="1"/>
        <v>0.03222298665358873</v>
      </c>
      <c r="J23" s="151">
        <v>0.8</v>
      </c>
      <c r="K23" s="189">
        <v>2762.71304</v>
      </c>
      <c r="L23" s="185">
        <v>8239.48611</v>
      </c>
      <c r="M23" s="58">
        <f t="shared" si="2"/>
        <v>0.3353016199210511</v>
      </c>
      <c r="N23" s="59">
        <v>0.5</v>
      </c>
      <c r="O23" s="189">
        <v>2762.71304</v>
      </c>
      <c r="P23" s="185">
        <v>2762.71304</v>
      </c>
      <c r="Q23" s="58">
        <f t="shared" si="3"/>
        <v>1</v>
      </c>
      <c r="R23" s="28">
        <v>1</v>
      </c>
      <c r="S23" s="189">
        <v>2762.71304</v>
      </c>
      <c r="T23" s="185">
        <v>2001.14011</v>
      </c>
      <c r="U23" s="61">
        <f t="shared" si="4"/>
        <v>1.3805695194425942</v>
      </c>
      <c r="V23" s="155">
        <v>1</v>
      </c>
      <c r="W23" s="189">
        <v>832.616</v>
      </c>
      <c r="X23" s="185">
        <v>910.002</v>
      </c>
      <c r="Y23" s="61">
        <f t="shared" si="5"/>
        <v>1.0929432055113042</v>
      </c>
      <c r="Z23" s="155">
        <v>0</v>
      </c>
      <c r="AA23" s="189">
        <v>910.002</v>
      </c>
      <c r="AB23" s="185">
        <v>2107.86671</v>
      </c>
      <c r="AC23" s="61">
        <f t="shared" si="6"/>
        <v>0.43171705102738683</v>
      </c>
      <c r="AD23" s="181">
        <f t="shared" si="7"/>
        <v>0.5682829489726131</v>
      </c>
      <c r="AE23" s="184">
        <v>5476.77307</v>
      </c>
      <c r="AF23" s="185">
        <v>8239.48611</v>
      </c>
      <c r="AG23" s="185">
        <v>149.5</v>
      </c>
      <c r="AH23" s="58">
        <f t="shared" si="8"/>
        <v>0.6769817643110886</v>
      </c>
      <c r="AI23" s="60">
        <v>0.5</v>
      </c>
      <c r="AJ23" s="195">
        <v>-11</v>
      </c>
      <c r="AK23" s="196">
        <v>92.1</v>
      </c>
      <c r="AL23" s="196">
        <f t="shared" si="9"/>
        <v>-103.1</v>
      </c>
      <c r="AM23" s="147">
        <v>1</v>
      </c>
      <c r="AN23" s="66">
        <v>2018.3</v>
      </c>
      <c r="AO23" s="66">
        <v>2467.2</v>
      </c>
      <c r="AP23" s="58">
        <f t="shared" si="10"/>
        <v>0.8180528534370948</v>
      </c>
      <c r="AQ23" s="391">
        <v>1</v>
      </c>
      <c r="AR23" s="434">
        <f t="shared" si="11"/>
        <v>2.1228502538289935</v>
      </c>
      <c r="AS23" s="434">
        <v>8123.68</v>
      </c>
      <c r="AT23" s="66">
        <v>8123.7</v>
      </c>
      <c r="AU23" s="66">
        <v>4182.7</v>
      </c>
      <c r="AV23" s="26">
        <f t="shared" si="12"/>
        <v>0.5148774939436315</v>
      </c>
      <c r="AW23" s="35">
        <v>0.8</v>
      </c>
      <c r="AX23" s="66">
        <v>1937.58</v>
      </c>
      <c r="AY23" s="66">
        <f t="shared" si="13"/>
        <v>96.00059455977804</v>
      </c>
      <c r="AZ23" s="66">
        <f t="shared" si="14"/>
        <v>46.32366653118799</v>
      </c>
      <c r="BA23" s="35">
        <v>0</v>
      </c>
      <c r="BB23" s="35">
        <v>1</v>
      </c>
      <c r="BC23" s="392">
        <v>2267</v>
      </c>
      <c r="BD23" s="36">
        <f t="shared" si="15"/>
        <v>3583.4494927216588</v>
      </c>
      <c r="BE23" s="58">
        <f>BD23/BD58*100%</f>
        <v>0.9383405770939202</v>
      </c>
      <c r="BF23" s="35">
        <v>0.9</v>
      </c>
      <c r="BG23" s="68">
        <f>BD23*100/BD55</f>
        <v>93.83405770939201</v>
      </c>
      <c r="BH23" s="69">
        <f t="shared" si="16"/>
        <v>65.68159589753753</v>
      </c>
      <c r="BI23" s="69">
        <f t="shared" si="17"/>
        <v>16.31832354715216</v>
      </c>
      <c r="BJ23" s="66">
        <f>1325651.65/1000</f>
        <v>1325.65165</v>
      </c>
      <c r="BK23" s="66">
        <f t="shared" si="18"/>
        <v>584.7603220114688</v>
      </c>
      <c r="BL23" s="58">
        <f>BK23/BK58*100%</f>
        <v>0.8674745496780306</v>
      </c>
      <c r="BM23" s="68">
        <v>0</v>
      </c>
      <c r="BN23" s="73">
        <v>429.1</v>
      </c>
      <c r="BO23" s="71">
        <v>17.6</v>
      </c>
      <c r="BP23" s="58">
        <f>BO23/(BN23+BO23)</f>
        <v>0.03940004477277815</v>
      </c>
      <c r="BQ23" s="208">
        <v>1</v>
      </c>
      <c r="BR23" s="38">
        <v>1</v>
      </c>
      <c r="BS23" s="66">
        <v>1018</v>
      </c>
      <c r="BT23" s="61">
        <f t="shared" si="19"/>
        <v>0.12531235766953483</v>
      </c>
      <c r="BU23" s="383">
        <f t="shared" si="20"/>
        <v>0.25062471533906966</v>
      </c>
      <c r="BV23" s="169">
        <v>0</v>
      </c>
      <c r="BW23" s="166">
        <f t="shared" si="21"/>
        <v>1</v>
      </c>
      <c r="BX23" s="393">
        <f>4+3+2</f>
        <v>9</v>
      </c>
      <c r="BY23" s="166">
        <f t="shared" si="22"/>
        <v>0.25</v>
      </c>
      <c r="BZ23" s="394">
        <v>2</v>
      </c>
      <c r="CA23" s="381">
        <v>0</v>
      </c>
      <c r="CB23" s="394">
        <v>2</v>
      </c>
      <c r="CC23" s="28">
        <f t="shared" si="23"/>
        <v>0.5</v>
      </c>
      <c r="CD23" s="395">
        <v>0</v>
      </c>
      <c r="CE23" s="387">
        <f>1-CD23/1</f>
        <v>1</v>
      </c>
      <c r="CF23" s="73"/>
      <c r="CG23" s="28">
        <f t="shared" si="24"/>
        <v>1</v>
      </c>
      <c r="CH23" s="73"/>
      <c r="CI23" s="48"/>
      <c r="CJ23" s="66">
        <v>1</v>
      </c>
      <c r="CK23" s="28">
        <f t="shared" si="25"/>
        <v>0</v>
      </c>
      <c r="CL23" s="388">
        <f t="shared" si="26"/>
        <v>14</v>
      </c>
      <c r="CM23" s="28">
        <f t="shared" si="27"/>
        <v>0.30000000000000004</v>
      </c>
      <c r="CN23" s="74"/>
      <c r="CO23" s="48">
        <f t="shared" si="28"/>
        <v>1</v>
      </c>
      <c r="CP23" s="66"/>
      <c r="CQ23" s="66">
        <f t="shared" si="29"/>
        <v>1</v>
      </c>
      <c r="CR23" s="394">
        <v>3</v>
      </c>
      <c r="CS23" s="38">
        <f t="shared" si="30"/>
        <v>0</v>
      </c>
      <c r="CT23" s="394">
        <v>1</v>
      </c>
      <c r="CU23" s="381">
        <f t="shared" si="31"/>
        <v>0.5</v>
      </c>
      <c r="CV23" s="393">
        <v>5</v>
      </c>
      <c r="CW23" s="165">
        <f t="shared" si="32"/>
        <v>0</v>
      </c>
      <c r="CX23" s="393">
        <f>4+2+2+2</f>
        <v>10</v>
      </c>
      <c r="CY23" s="165">
        <f t="shared" si="33"/>
        <v>0.09090909090909094</v>
      </c>
      <c r="CZ23" s="393">
        <v>8</v>
      </c>
      <c r="DA23" s="166">
        <f t="shared" si="34"/>
        <v>0</v>
      </c>
      <c r="DB23" s="388">
        <f t="shared" si="35"/>
        <v>27</v>
      </c>
      <c r="DC23" s="165">
        <f t="shared" si="36"/>
        <v>0</v>
      </c>
      <c r="DD23" s="396">
        <v>1</v>
      </c>
      <c r="DE23" s="69">
        <v>0.5</v>
      </c>
      <c r="DF23" s="394">
        <v>11</v>
      </c>
      <c r="DG23" s="155">
        <f t="shared" si="37"/>
        <v>0.2142857142857143</v>
      </c>
      <c r="DH23" s="73">
        <v>10</v>
      </c>
      <c r="DI23" s="38">
        <f t="shared" si="38"/>
        <v>0.7777777777777778</v>
      </c>
      <c r="DJ23" s="66">
        <v>1</v>
      </c>
      <c r="DK23" s="69">
        <v>0</v>
      </c>
      <c r="DL23" s="394">
        <v>5</v>
      </c>
      <c r="DM23" s="397">
        <v>0.8</v>
      </c>
      <c r="DN23" s="385">
        <f t="shared" si="39"/>
        <v>28</v>
      </c>
      <c r="DO23" s="390">
        <f t="shared" si="40"/>
        <v>0.5483870967741935</v>
      </c>
      <c r="DP23" s="175">
        <v>817</v>
      </c>
      <c r="DQ23" s="166">
        <f>1-DP23/(1380)*100/100</f>
        <v>0.40797101449275364</v>
      </c>
      <c r="DR23" s="66">
        <v>0</v>
      </c>
      <c r="DS23" s="28">
        <f t="shared" si="41"/>
        <v>1</v>
      </c>
      <c r="DT23" s="45">
        <v>1</v>
      </c>
      <c r="DU23" s="28">
        <v>1</v>
      </c>
      <c r="DV23" s="75"/>
      <c r="DW23" s="45">
        <v>1</v>
      </c>
      <c r="DX23" s="28">
        <v>1</v>
      </c>
      <c r="DY23" s="46"/>
      <c r="DZ23" s="45">
        <v>1</v>
      </c>
      <c r="EA23" s="28">
        <v>1</v>
      </c>
      <c r="EB23" s="76"/>
      <c r="EC23" s="45">
        <v>1</v>
      </c>
      <c r="ED23" s="69">
        <v>1</v>
      </c>
      <c r="EE23" s="49"/>
      <c r="EF23" s="49">
        <v>1</v>
      </c>
      <c r="EG23" s="69">
        <v>1</v>
      </c>
      <c r="EH23" s="49"/>
      <c r="EI23" s="49">
        <v>1</v>
      </c>
      <c r="EJ23" s="172">
        <v>1</v>
      </c>
      <c r="EK23" s="75"/>
      <c r="EL23" s="49"/>
      <c r="EM23" s="158"/>
      <c r="EN23" s="176"/>
      <c r="EO23" s="174"/>
      <c r="EP23" s="426">
        <f t="shared" si="42"/>
        <v>21.575265775578632</v>
      </c>
      <c r="EQ23" s="427">
        <f t="shared" si="43"/>
        <v>14</v>
      </c>
      <c r="ER23" s="430">
        <f t="shared" si="44"/>
        <v>1.617057655305351</v>
      </c>
      <c r="ES23" s="53" t="s">
        <v>117</v>
      </c>
      <c r="EU23" s="54">
        <v>21.324641060239564</v>
      </c>
      <c r="EV23" s="54">
        <v>14</v>
      </c>
      <c r="EW23" s="54">
        <v>1.552704073700215</v>
      </c>
      <c r="EX23" s="54" t="s">
        <v>117</v>
      </c>
    </row>
    <row r="24" spans="1:154" s="54" customFormat="1" ht="18.75">
      <c r="A24" s="55">
        <f t="shared" si="0"/>
        <v>15</v>
      </c>
      <c r="B24" s="56" t="s">
        <v>130</v>
      </c>
      <c r="C24" s="57">
        <v>0</v>
      </c>
      <c r="D24" s="158">
        <v>1</v>
      </c>
      <c r="E24" s="57">
        <v>0</v>
      </c>
      <c r="F24" s="158">
        <v>1</v>
      </c>
      <c r="G24" s="189">
        <v>6060.7</v>
      </c>
      <c r="H24" s="185">
        <v>6864.67329</v>
      </c>
      <c r="I24" s="58">
        <f t="shared" si="1"/>
        <v>-0.13265353672018082</v>
      </c>
      <c r="J24" s="151">
        <v>0.3</v>
      </c>
      <c r="K24" s="189">
        <v>6864.67329</v>
      </c>
      <c r="L24" s="185">
        <v>10470.55849</v>
      </c>
      <c r="M24" s="58">
        <f t="shared" si="2"/>
        <v>0.6556167272792723</v>
      </c>
      <c r="N24" s="59">
        <v>0.8</v>
      </c>
      <c r="O24" s="189">
        <v>6864.67329</v>
      </c>
      <c r="P24" s="185">
        <v>6360.77329</v>
      </c>
      <c r="Q24" s="58">
        <f t="shared" si="3"/>
        <v>1.079219927676435</v>
      </c>
      <c r="R24" s="28">
        <v>1</v>
      </c>
      <c r="S24" s="189">
        <v>6864.67329</v>
      </c>
      <c r="T24" s="185">
        <v>5950.83075</v>
      </c>
      <c r="U24" s="61">
        <f t="shared" si="4"/>
        <v>1.1535655404079506</v>
      </c>
      <c r="V24" s="155">
        <v>1</v>
      </c>
      <c r="W24" s="189">
        <v>611.9462</v>
      </c>
      <c r="X24" s="185">
        <v>2070.5514</v>
      </c>
      <c r="Y24" s="61">
        <f t="shared" si="5"/>
        <v>3.3835513644826944</v>
      </c>
      <c r="Z24" s="155">
        <v>0</v>
      </c>
      <c r="AA24" s="189">
        <v>2070.5514</v>
      </c>
      <c r="AB24" s="185">
        <v>6017.53803</v>
      </c>
      <c r="AC24" s="61">
        <f t="shared" si="6"/>
        <v>0.34408613450840125</v>
      </c>
      <c r="AD24" s="181">
        <f t="shared" si="7"/>
        <v>0.6559138654915988</v>
      </c>
      <c r="AE24" s="184">
        <v>3605.8852</v>
      </c>
      <c r="AF24" s="185">
        <v>10470.55849</v>
      </c>
      <c r="AG24" s="185">
        <v>138.46</v>
      </c>
      <c r="AH24" s="58">
        <f t="shared" si="8"/>
        <v>0.34899833789718354</v>
      </c>
      <c r="AI24" s="60">
        <v>0.8</v>
      </c>
      <c r="AJ24" s="195">
        <v>2541.5</v>
      </c>
      <c r="AK24" s="196">
        <v>-517.8</v>
      </c>
      <c r="AL24" s="196">
        <f t="shared" si="9"/>
        <v>3059.3</v>
      </c>
      <c r="AM24" s="147">
        <v>0</v>
      </c>
      <c r="AN24" s="66">
        <v>2166</v>
      </c>
      <c r="AO24" s="66">
        <v>2572.5</v>
      </c>
      <c r="AP24" s="58">
        <f t="shared" si="10"/>
        <v>0.8419825072886298</v>
      </c>
      <c r="AQ24" s="391">
        <v>1</v>
      </c>
      <c r="AR24" s="434">
        <f t="shared" si="11"/>
        <v>3.211700462189057</v>
      </c>
      <c r="AS24" s="434">
        <v>12290.45</v>
      </c>
      <c r="AT24" s="66">
        <v>12290.5</v>
      </c>
      <c r="AU24" s="66">
        <v>4132.4</v>
      </c>
      <c r="AV24" s="26">
        <f t="shared" si="12"/>
        <v>0.33622853516348056</v>
      </c>
      <c r="AW24" s="35">
        <v>1</v>
      </c>
      <c r="AX24" s="66">
        <v>2164.17</v>
      </c>
      <c r="AY24" s="66">
        <f t="shared" si="13"/>
        <v>99.91551246537396</v>
      </c>
      <c r="AZ24" s="66">
        <f t="shared" si="14"/>
        <v>52.3707772722873</v>
      </c>
      <c r="BA24" s="35">
        <v>0</v>
      </c>
      <c r="BB24" s="35">
        <v>1</v>
      </c>
      <c r="BC24" s="392">
        <v>2779</v>
      </c>
      <c r="BD24" s="36">
        <f t="shared" si="15"/>
        <v>4422.616048938467</v>
      </c>
      <c r="BE24" s="58">
        <f>BD24/BD59*100%</f>
        <v>1.1580796950130463</v>
      </c>
      <c r="BF24" s="35">
        <v>1</v>
      </c>
      <c r="BG24" s="68">
        <f>BD24*100/BD56</f>
        <v>115.80796950130464</v>
      </c>
      <c r="BH24" s="69">
        <f t="shared" si="16"/>
        <v>64.66352585410895</v>
      </c>
      <c r="BI24" s="69">
        <f t="shared" si="17"/>
        <v>11.395890891338837</v>
      </c>
      <c r="BJ24" s="66">
        <f>1400611.97/1000</f>
        <v>1400.61197</v>
      </c>
      <c r="BK24" s="66">
        <f t="shared" si="18"/>
        <v>503.99854983807126</v>
      </c>
      <c r="BL24" s="58">
        <f>BK24/BK59*100%</f>
        <v>0.7476668621346482</v>
      </c>
      <c r="BM24" s="68">
        <v>0</v>
      </c>
      <c r="BN24" s="73">
        <v>0</v>
      </c>
      <c r="BO24" s="71">
        <v>0</v>
      </c>
      <c r="BP24" s="58"/>
      <c r="BQ24" s="208"/>
      <c r="BR24" s="38">
        <v>1</v>
      </c>
      <c r="BS24" s="66">
        <v>1562.735</v>
      </c>
      <c r="BT24" s="61">
        <f t="shared" si="19"/>
        <v>0.12714983117041617</v>
      </c>
      <c r="BU24" s="383">
        <f t="shared" si="20"/>
        <v>0.25429966234083234</v>
      </c>
      <c r="BV24" s="169">
        <v>0</v>
      </c>
      <c r="BW24" s="166">
        <f t="shared" si="21"/>
        <v>1</v>
      </c>
      <c r="BX24" s="393">
        <f>2+1+1</f>
        <v>4</v>
      </c>
      <c r="BY24" s="166">
        <f t="shared" si="22"/>
        <v>0.6666666666666667</v>
      </c>
      <c r="BZ24" s="394">
        <v>0</v>
      </c>
      <c r="CA24" s="381">
        <v>1</v>
      </c>
      <c r="CB24" s="394">
        <v>0</v>
      </c>
      <c r="CC24" s="28">
        <f t="shared" si="23"/>
        <v>1</v>
      </c>
      <c r="CD24" s="395">
        <v>0</v>
      </c>
      <c r="CE24" s="387">
        <f>1-CD24/1</f>
        <v>1</v>
      </c>
      <c r="CF24" s="73"/>
      <c r="CG24" s="28">
        <f t="shared" si="24"/>
        <v>1</v>
      </c>
      <c r="CH24" s="73"/>
      <c r="CI24" s="48"/>
      <c r="CJ24" s="36">
        <v>1</v>
      </c>
      <c r="CK24" s="28">
        <f t="shared" si="25"/>
        <v>0</v>
      </c>
      <c r="CL24" s="388">
        <f t="shared" si="26"/>
        <v>5</v>
      </c>
      <c r="CM24" s="28">
        <f t="shared" si="27"/>
        <v>0.75</v>
      </c>
      <c r="CN24" s="74"/>
      <c r="CO24" s="48">
        <f t="shared" si="28"/>
        <v>1</v>
      </c>
      <c r="CP24" s="66"/>
      <c r="CQ24" s="66">
        <f t="shared" si="29"/>
        <v>1</v>
      </c>
      <c r="CR24" s="394">
        <v>2</v>
      </c>
      <c r="CS24" s="38">
        <f t="shared" si="30"/>
        <v>0.33333333333333337</v>
      </c>
      <c r="CT24" s="394">
        <v>1</v>
      </c>
      <c r="CU24" s="381">
        <f t="shared" si="31"/>
        <v>0.5</v>
      </c>
      <c r="CV24" s="393">
        <v>5</v>
      </c>
      <c r="CW24" s="165">
        <f t="shared" si="32"/>
        <v>0</v>
      </c>
      <c r="CX24" s="393">
        <f>2+4+1+2</f>
        <v>9</v>
      </c>
      <c r="CY24" s="165">
        <f t="shared" si="33"/>
        <v>0.18181818181818177</v>
      </c>
      <c r="CZ24" s="393">
        <v>2</v>
      </c>
      <c r="DA24" s="166">
        <f t="shared" si="34"/>
        <v>0.75</v>
      </c>
      <c r="DB24" s="388">
        <f t="shared" si="35"/>
        <v>19</v>
      </c>
      <c r="DC24" s="165">
        <f t="shared" si="36"/>
        <v>0.2962962962962963</v>
      </c>
      <c r="DD24" s="396">
        <v>2</v>
      </c>
      <c r="DE24" s="69">
        <v>0</v>
      </c>
      <c r="DF24" s="394">
        <v>10</v>
      </c>
      <c r="DG24" s="155">
        <f t="shared" si="37"/>
        <v>0.2857142857142857</v>
      </c>
      <c r="DH24" s="73">
        <v>4</v>
      </c>
      <c r="DI24" s="38">
        <f t="shared" si="38"/>
        <v>0.9111111111111111</v>
      </c>
      <c r="DJ24" s="66">
        <v>0</v>
      </c>
      <c r="DK24" s="69">
        <v>1</v>
      </c>
      <c r="DL24" s="394">
        <v>5</v>
      </c>
      <c r="DM24" s="397">
        <v>0.5</v>
      </c>
      <c r="DN24" s="385">
        <f t="shared" si="39"/>
        <v>21</v>
      </c>
      <c r="DO24" s="390">
        <f t="shared" si="40"/>
        <v>0.6612903225806452</v>
      </c>
      <c r="DP24" s="175">
        <v>620</v>
      </c>
      <c r="DQ24" s="166">
        <f>1-DP24/(1259)*100/100</f>
        <v>0.5075456711675933</v>
      </c>
      <c r="DR24" s="66">
        <v>3</v>
      </c>
      <c r="DS24" s="28">
        <f t="shared" si="41"/>
        <v>0.25</v>
      </c>
      <c r="DT24" s="45">
        <v>1</v>
      </c>
      <c r="DU24" s="28">
        <v>1</v>
      </c>
      <c r="DV24" s="75"/>
      <c r="DW24" s="45">
        <v>1</v>
      </c>
      <c r="DX24" s="28">
        <v>1</v>
      </c>
      <c r="DY24" s="46"/>
      <c r="DZ24" s="45">
        <v>1</v>
      </c>
      <c r="EA24" s="28">
        <v>1</v>
      </c>
      <c r="EB24" s="76"/>
      <c r="EC24" s="45">
        <v>1</v>
      </c>
      <c r="ED24" s="69">
        <v>1</v>
      </c>
      <c r="EE24" s="49"/>
      <c r="EF24" s="49">
        <v>1</v>
      </c>
      <c r="EG24" s="69">
        <v>1</v>
      </c>
      <c r="EH24" s="49"/>
      <c r="EI24" s="49">
        <v>1</v>
      </c>
      <c r="EJ24" s="172">
        <v>1</v>
      </c>
      <c r="EK24" s="75"/>
      <c r="EL24" s="49"/>
      <c r="EM24" s="158"/>
      <c r="EN24" s="176"/>
      <c r="EO24" s="174"/>
      <c r="EP24" s="426">
        <f t="shared" si="42"/>
        <v>21.275345817876964</v>
      </c>
      <c r="EQ24" s="427">
        <f t="shared" si="43"/>
        <v>15</v>
      </c>
      <c r="ER24" s="430">
        <f t="shared" si="44"/>
        <v>1.617057655305351</v>
      </c>
      <c r="ES24" s="79" t="s">
        <v>117</v>
      </c>
      <c r="EU24" s="54">
        <v>21.197252457964836</v>
      </c>
      <c r="EV24" s="54">
        <v>15</v>
      </c>
      <c r="EW24" s="54">
        <v>1.552704073700215</v>
      </c>
      <c r="EX24" s="54" t="s">
        <v>117</v>
      </c>
    </row>
    <row r="25" spans="1:154" s="54" customFormat="1" ht="18.75">
      <c r="A25" s="55">
        <f t="shared" si="0"/>
        <v>16</v>
      </c>
      <c r="B25" s="56" t="s">
        <v>122</v>
      </c>
      <c r="C25" s="57">
        <v>0</v>
      </c>
      <c r="D25" s="158">
        <v>1</v>
      </c>
      <c r="E25" s="57">
        <v>0</v>
      </c>
      <c r="F25" s="158">
        <v>1</v>
      </c>
      <c r="G25" s="189">
        <v>5353.2755</v>
      </c>
      <c r="H25" s="185">
        <v>9916.48897</v>
      </c>
      <c r="I25" s="58">
        <f t="shared" si="1"/>
        <v>-0.8524152119576137</v>
      </c>
      <c r="J25" s="151">
        <v>0</v>
      </c>
      <c r="K25" s="189">
        <v>9916.48897</v>
      </c>
      <c r="L25" s="185">
        <v>12675.87847</v>
      </c>
      <c r="M25" s="58">
        <f t="shared" si="2"/>
        <v>0.7823117737732619</v>
      </c>
      <c r="N25" s="159">
        <v>1</v>
      </c>
      <c r="O25" s="189">
        <v>9916.48897</v>
      </c>
      <c r="P25" s="185">
        <v>7609.06351</v>
      </c>
      <c r="Q25" s="58">
        <f t="shared" si="3"/>
        <v>1.303246970795753</v>
      </c>
      <c r="R25" s="28">
        <v>1</v>
      </c>
      <c r="S25" s="189">
        <v>9916.48897</v>
      </c>
      <c r="T25" s="185">
        <v>29527.71182</v>
      </c>
      <c r="U25" s="61">
        <f t="shared" si="4"/>
        <v>0.3358366889534348</v>
      </c>
      <c r="V25" s="155">
        <v>0</v>
      </c>
      <c r="W25" s="189">
        <v>438.7837</v>
      </c>
      <c r="X25" s="185">
        <v>518.0379</v>
      </c>
      <c r="Y25" s="61">
        <f t="shared" si="5"/>
        <v>1.1806224798232023</v>
      </c>
      <c r="Z25" s="155">
        <v>0</v>
      </c>
      <c r="AA25" s="189">
        <v>518.0379</v>
      </c>
      <c r="AB25" s="185">
        <v>9545.96734</v>
      </c>
      <c r="AC25" s="61">
        <f t="shared" si="6"/>
        <v>0.05426772180848464</v>
      </c>
      <c r="AD25" s="181">
        <f t="shared" si="7"/>
        <v>0.9457322781915154</v>
      </c>
      <c r="AE25" s="184">
        <v>2759.3895</v>
      </c>
      <c r="AF25" s="185">
        <v>12675.87847</v>
      </c>
      <c r="AG25" s="185">
        <v>204.01</v>
      </c>
      <c r="AH25" s="58">
        <f t="shared" si="8"/>
        <v>0.22124908602407675</v>
      </c>
      <c r="AI25" s="158">
        <v>1</v>
      </c>
      <c r="AJ25" s="195">
        <v>12872.2</v>
      </c>
      <c r="AK25" s="196">
        <v>-18782.6</v>
      </c>
      <c r="AL25" s="196">
        <f t="shared" si="9"/>
        <v>31654.8</v>
      </c>
      <c r="AM25" s="147">
        <v>0</v>
      </c>
      <c r="AN25" s="66">
        <v>2706.6</v>
      </c>
      <c r="AO25" s="66">
        <v>2914.1</v>
      </c>
      <c r="AP25" s="58">
        <f t="shared" si="10"/>
        <v>0.928794482001304</v>
      </c>
      <c r="AQ25" s="391">
        <v>1</v>
      </c>
      <c r="AR25" s="434">
        <f t="shared" si="11"/>
        <v>6.020086291666459</v>
      </c>
      <c r="AS25" s="434">
        <v>23037.58</v>
      </c>
      <c r="AT25" s="66">
        <v>23037.6</v>
      </c>
      <c r="AU25" s="66">
        <v>6303.2</v>
      </c>
      <c r="AV25" s="26">
        <f t="shared" si="12"/>
        <v>0.27360512692739425</v>
      </c>
      <c r="AW25" s="35">
        <v>1</v>
      </c>
      <c r="AX25" s="66">
        <v>2652.35</v>
      </c>
      <c r="AY25" s="66">
        <f t="shared" si="13"/>
        <v>97.99564028670657</v>
      </c>
      <c r="AZ25" s="66">
        <f t="shared" si="14"/>
        <v>42.079419977154465</v>
      </c>
      <c r="BA25" s="35">
        <v>0</v>
      </c>
      <c r="BB25" s="35">
        <v>1</v>
      </c>
      <c r="BC25" s="392">
        <v>3752</v>
      </c>
      <c r="BD25" s="36">
        <f t="shared" si="15"/>
        <v>6140.079957356077</v>
      </c>
      <c r="BE25" s="58">
        <f>BD25/BD59*100%</f>
        <v>1.6078044862332965</v>
      </c>
      <c r="BF25" s="35">
        <v>1</v>
      </c>
      <c r="BG25" s="68">
        <f>BD25*100/BD59</f>
        <v>160.78044862332965</v>
      </c>
      <c r="BH25" s="69">
        <f t="shared" si="16"/>
        <v>157.91215288553906</v>
      </c>
      <c r="BI25" s="69">
        <f t="shared" si="17"/>
        <v>18.552498220300727</v>
      </c>
      <c r="BJ25" s="66">
        <f>4274050.33/1000</f>
        <v>4274.05033</v>
      </c>
      <c r="BK25" s="66">
        <f t="shared" si="18"/>
        <v>1139.1392137526652</v>
      </c>
      <c r="BL25" s="58">
        <f>BK25/BK59*100%</f>
        <v>1.6898791509511792</v>
      </c>
      <c r="BM25" s="68">
        <v>1</v>
      </c>
      <c r="BN25" s="73">
        <v>835.4</v>
      </c>
      <c r="BO25" s="71">
        <v>177.09</v>
      </c>
      <c r="BP25" s="58">
        <f aca="true" t="shared" si="45" ref="BP25:BP34">BO25/(BN25+BO25)</f>
        <v>0.17490543116475224</v>
      </c>
      <c r="BQ25" s="208">
        <v>1</v>
      </c>
      <c r="BR25" s="38">
        <v>1</v>
      </c>
      <c r="BS25" s="66">
        <v>137.22</v>
      </c>
      <c r="BT25" s="61">
        <f t="shared" si="19"/>
        <v>0.0059563496197520575</v>
      </c>
      <c r="BU25" s="383">
        <f t="shared" si="20"/>
        <v>0.011912699239504115</v>
      </c>
      <c r="BV25" s="169">
        <v>0</v>
      </c>
      <c r="BW25" s="166">
        <f t="shared" si="21"/>
        <v>1</v>
      </c>
      <c r="BX25" s="393">
        <f>3+2+2</f>
        <v>7</v>
      </c>
      <c r="BY25" s="166">
        <f t="shared" si="22"/>
        <v>0.41666666666666663</v>
      </c>
      <c r="BZ25" s="394">
        <v>1</v>
      </c>
      <c r="CA25" s="381">
        <v>0</v>
      </c>
      <c r="CB25" s="394">
        <v>1</v>
      </c>
      <c r="CC25" s="28">
        <f t="shared" si="23"/>
        <v>0.75</v>
      </c>
      <c r="CD25" s="395">
        <v>0</v>
      </c>
      <c r="CE25" s="387">
        <f>1-CD25/1</f>
        <v>1</v>
      </c>
      <c r="CF25" s="73">
        <v>1</v>
      </c>
      <c r="CG25" s="28">
        <f t="shared" si="24"/>
        <v>0</v>
      </c>
      <c r="CH25" s="73"/>
      <c r="CI25" s="48"/>
      <c r="CJ25" s="36"/>
      <c r="CK25" s="28">
        <f t="shared" si="25"/>
        <v>1</v>
      </c>
      <c r="CL25" s="388">
        <f t="shared" si="26"/>
        <v>10</v>
      </c>
      <c r="CM25" s="28">
        <f t="shared" si="27"/>
        <v>0.5</v>
      </c>
      <c r="CN25" s="74"/>
      <c r="CO25" s="48">
        <f t="shared" si="28"/>
        <v>1</v>
      </c>
      <c r="CP25" s="66"/>
      <c r="CQ25" s="66">
        <f t="shared" si="29"/>
        <v>1</v>
      </c>
      <c r="CR25" s="394">
        <v>0</v>
      </c>
      <c r="CS25" s="38">
        <f t="shared" si="30"/>
        <v>1</v>
      </c>
      <c r="CT25" s="394">
        <v>0</v>
      </c>
      <c r="CU25" s="381">
        <f t="shared" si="31"/>
        <v>1</v>
      </c>
      <c r="CV25" s="393">
        <v>3</v>
      </c>
      <c r="CW25" s="165">
        <f t="shared" si="32"/>
        <v>0.4</v>
      </c>
      <c r="CX25" s="393">
        <f>3+3+2+2</f>
        <v>10</v>
      </c>
      <c r="CY25" s="165">
        <f t="shared" si="33"/>
        <v>0.09090909090909094</v>
      </c>
      <c r="CZ25" s="393">
        <v>4</v>
      </c>
      <c r="DA25" s="166">
        <f t="shared" si="34"/>
        <v>0.5</v>
      </c>
      <c r="DB25" s="388">
        <f t="shared" si="35"/>
        <v>17</v>
      </c>
      <c r="DC25" s="165">
        <f t="shared" si="36"/>
        <v>0.37037037037037035</v>
      </c>
      <c r="DD25" s="396">
        <v>1</v>
      </c>
      <c r="DE25" s="69">
        <v>0.5</v>
      </c>
      <c r="DF25" s="394">
        <v>14</v>
      </c>
      <c r="DG25" s="155">
        <f t="shared" si="37"/>
        <v>0</v>
      </c>
      <c r="DH25" s="73">
        <v>45</v>
      </c>
      <c r="DI25" s="38">
        <f t="shared" si="38"/>
        <v>0</v>
      </c>
      <c r="DJ25" s="66">
        <v>1</v>
      </c>
      <c r="DK25" s="69">
        <v>0</v>
      </c>
      <c r="DL25" s="394">
        <v>1</v>
      </c>
      <c r="DM25" s="397">
        <v>0.8</v>
      </c>
      <c r="DN25" s="385">
        <f t="shared" si="39"/>
        <v>62</v>
      </c>
      <c r="DO25" s="390">
        <f t="shared" si="40"/>
        <v>0</v>
      </c>
      <c r="DP25" s="175">
        <v>197</v>
      </c>
      <c r="DQ25" s="166">
        <f>1-DP25/(1969)*100/100</f>
        <v>0.8999492127983748</v>
      </c>
      <c r="DR25" s="66">
        <v>4</v>
      </c>
      <c r="DS25" s="28">
        <f t="shared" si="41"/>
        <v>0</v>
      </c>
      <c r="DT25" s="45">
        <v>1</v>
      </c>
      <c r="DU25" s="28">
        <v>1</v>
      </c>
      <c r="DV25" s="75"/>
      <c r="DW25" s="45">
        <v>1</v>
      </c>
      <c r="DX25" s="28">
        <v>1</v>
      </c>
      <c r="DY25" s="46"/>
      <c r="DZ25" s="45">
        <v>1</v>
      </c>
      <c r="EA25" s="28">
        <v>1</v>
      </c>
      <c r="EB25" s="76"/>
      <c r="EC25" s="45">
        <v>1</v>
      </c>
      <c r="ED25" s="69">
        <v>1</v>
      </c>
      <c r="EE25" s="49"/>
      <c r="EF25" s="49">
        <v>1</v>
      </c>
      <c r="EG25" s="69">
        <v>1</v>
      </c>
      <c r="EH25" s="49"/>
      <c r="EI25" s="49">
        <v>1</v>
      </c>
      <c r="EJ25" s="172">
        <v>1</v>
      </c>
      <c r="EK25" s="75"/>
      <c r="EL25" s="49"/>
      <c r="EM25" s="158"/>
      <c r="EN25" s="176"/>
      <c r="EO25" s="174"/>
      <c r="EP25" s="426">
        <f t="shared" si="42"/>
        <v>20.727964560599766</v>
      </c>
      <c r="EQ25" s="427">
        <f t="shared" si="43"/>
        <v>16</v>
      </c>
      <c r="ER25" s="430">
        <f t="shared" si="44"/>
        <v>1.617057655305351</v>
      </c>
      <c r="ES25" s="79" t="s">
        <v>117</v>
      </c>
      <c r="EU25" s="54">
        <v>20.727964560599766</v>
      </c>
      <c r="EV25" s="54">
        <v>16</v>
      </c>
      <c r="EW25" s="54">
        <v>1.552704073700215</v>
      </c>
      <c r="EX25" s="54" t="s">
        <v>117</v>
      </c>
    </row>
    <row r="26" spans="1:154" s="54" customFormat="1" ht="18.75">
      <c r="A26" s="55">
        <f t="shared" si="0"/>
        <v>17</v>
      </c>
      <c r="B26" s="56" t="s">
        <v>139</v>
      </c>
      <c r="C26" s="57">
        <v>0</v>
      </c>
      <c r="D26" s="158">
        <v>1</v>
      </c>
      <c r="E26" s="57">
        <v>0</v>
      </c>
      <c r="F26" s="158">
        <v>1</v>
      </c>
      <c r="G26" s="189">
        <v>6098.9</v>
      </c>
      <c r="H26" s="185">
        <v>7114.17526</v>
      </c>
      <c r="I26" s="58">
        <f t="shared" si="1"/>
        <v>-0.16646858613848406</v>
      </c>
      <c r="J26" s="151">
        <v>0.2</v>
      </c>
      <c r="K26" s="189">
        <v>7114.17526</v>
      </c>
      <c r="L26" s="185">
        <v>13492.56615</v>
      </c>
      <c r="M26" s="58">
        <f t="shared" si="2"/>
        <v>0.5272662872955416</v>
      </c>
      <c r="N26" s="59">
        <v>0.8</v>
      </c>
      <c r="O26" s="189">
        <v>7114.17526</v>
      </c>
      <c r="P26" s="185">
        <v>7114.17526</v>
      </c>
      <c r="Q26" s="58">
        <f t="shared" si="3"/>
        <v>1</v>
      </c>
      <c r="R26" s="28">
        <v>1</v>
      </c>
      <c r="S26" s="189">
        <v>7114.17526</v>
      </c>
      <c r="T26" s="185">
        <v>4355.52677</v>
      </c>
      <c r="U26" s="61">
        <f t="shared" si="4"/>
        <v>1.6333673596041287</v>
      </c>
      <c r="V26" s="155">
        <v>1</v>
      </c>
      <c r="W26" s="189">
        <v>903.443</v>
      </c>
      <c r="X26" s="185">
        <v>1559.8717</v>
      </c>
      <c r="Y26" s="61">
        <f t="shared" si="5"/>
        <v>1.7265856285343957</v>
      </c>
      <c r="Z26" s="155">
        <v>0</v>
      </c>
      <c r="AA26" s="189">
        <v>1559.8717</v>
      </c>
      <c r="AB26" s="185">
        <v>4978.73313</v>
      </c>
      <c r="AC26" s="61">
        <f t="shared" si="6"/>
        <v>0.3133069516421339</v>
      </c>
      <c r="AD26" s="181">
        <f t="shared" si="7"/>
        <v>0.6866930483578662</v>
      </c>
      <c r="AE26" s="184">
        <v>6378.39089</v>
      </c>
      <c r="AF26" s="185">
        <v>13492.56615</v>
      </c>
      <c r="AG26" s="185">
        <v>253</v>
      </c>
      <c r="AH26" s="58">
        <f t="shared" si="8"/>
        <v>0.48176736440868945</v>
      </c>
      <c r="AI26" s="60">
        <v>0.8</v>
      </c>
      <c r="AJ26" s="195">
        <v>-945</v>
      </c>
      <c r="AK26" s="196">
        <v>-106.4</v>
      </c>
      <c r="AL26" s="196">
        <f t="shared" si="9"/>
        <v>-838.6</v>
      </c>
      <c r="AM26" s="147">
        <v>1</v>
      </c>
      <c r="AN26" s="66">
        <v>2225.2</v>
      </c>
      <c r="AO26" s="66">
        <v>3240.2</v>
      </c>
      <c r="AP26" s="58">
        <f t="shared" si="10"/>
        <v>0.6867477316215048</v>
      </c>
      <c r="AQ26" s="391">
        <v>1</v>
      </c>
      <c r="AR26" s="434">
        <f t="shared" si="11"/>
        <v>3.232814769771733</v>
      </c>
      <c r="AS26" s="434">
        <v>12371.26</v>
      </c>
      <c r="AT26" s="66">
        <v>12371.3</v>
      </c>
      <c r="AU26" s="66">
        <v>5727</v>
      </c>
      <c r="AV26" s="26">
        <f t="shared" si="12"/>
        <v>0.4629277858520474</v>
      </c>
      <c r="AW26" s="35">
        <v>1</v>
      </c>
      <c r="AX26" s="66">
        <v>2147.56</v>
      </c>
      <c r="AY26" s="66">
        <f t="shared" si="13"/>
        <v>96.51087542692792</v>
      </c>
      <c r="AZ26" s="66">
        <f t="shared" si="14"/>
        <v>37.498865025318665</v>
      </c>
      <c r="BA26" s="35">
        <v>0</v>
      </c>
      <c r="BB26" s="35">
        <v>1</v>
      </c>
      <c r="BC26" s="392">
        <v>6211</v>
      </c>
      <c r="BD26" s="36">
        <f t="shared" si="15"/>
        <v>1991.8306230880696</v>
      </c>
      <c r="BE26" s="58">
        <f>BD26/BD68*100%</f>
        <v>0.5215688124356036</v>
      </c>
      <c r="BF26" s="35">
        <v>0</v>
      </c>
      <c r="BG26" s="68">
        <f>BD26*100/BD64</f>
        <v>52.156881243560356</v>
      </c>
      <c r="BH26" s="69">
        <f t="shared" si="16"/>
        <v>81.03914973934927</v>
      </c>
      <c r="BI26" s="69">
        <f t="shared" si="17"/>
        <v>14.576343310727248</v>
      </c>
      <c r="BJ26" s="66">
        <f>1803283.16/1000</f>
        <v>1803.28316</v>
      </c>
      <c r="BK26" s="66">
        <f t="shared" si="18"/>
        <v>290.33700853324746</v>
      </c>
      <c r="BL26" s="58">
        <f>BK26/BK68*100%</f>
        <v>0.43070631889984096</v>
      </c>
      <c r="BM26" s="68">
        <v>0</v>
      </c>
      <c r="BN26" s="73">
        <v>648</v>
      </c>
      <c r="BO26" s="73">
        <v>206.59</v>
      </c>
      <c r="BP26" s="58">
        <f t="shared" si="45"/>
        <v>0.24174165389250984</v>
      </c>
      <c r="BQ26" s="208">
        <v>1</v>
      </c>
      <c r="BR26" s="38">
        <v>1</v>
      </c>
      <c r="BS26" s="66">
        <v>2505.368</v>
      </c>
      <c r="BT26" s="61">
        <f t="shared" si="19"/>
        <v>0.20251452959672792</v>
      </c>
      <c r="BU26" s="383">
        <f t="shared" si="20"/>
        <v>0.40502905919345583</v>
      </c>
      <c r="BV26" s="169">
        <v>0</v>
      </c>
      <c r="BW26" s="166">
        <f t="shared" si="21"/>
        <v>1</v>
      </c>
      <c r="BX26" s="393">
        <f>3+2+1</f>
        <v>6</v>
      </c>
      <c r="BY26" s="166">
        <f t="shared" si="22"/>
        <v>0.5</v>
      </c>
      <c r="BZ26" s="394">
        <v>1</v>
      </c>
      <c r="CA26" s="381">
        <v>0</v>
      </c>
      <c r="CB26" s="394">
        <v>2</v>
      </c>
      <c r="CC26" s="28">
        <f t="shared" si="23"/>
        <v>0.5</v>
      </c>
      <c r="CD26" s="395">
        <v>2</v>
      </c>
      <c r="CE26" s="387">
        <v>0</v>
      </c>
      <c r="CF26" s="73"/>
      <c r="CG26" s="28">
        <f t="shared" si="24"/>
        <v>1</v>
      </c>
      <c r="CH26" s="73"/>
      <c r="CI26" s="48"/>
      <c r="CJ26" s="36"/>
      <c r="CK26" s="28">
        <f t="shared" si="25"/>
        <v>1</v>
      </c>
      <c r="CL26" s="388">
        <f t="shared" si="26"/>
        <v>11</v>
      </c>
      <c r="CM26" s="28">
        <f t="shared" si="27"/>
        <v>0.44999999999999996</v>
      </c>
      <c r="CN26" s="74"/>
      <c r="CO26" s="48">
        <f t="shared" si="28"/>
        <v>1</v>
      </c>
      <c r="CP26" s="66"/>
      <c r="CQ26" s="66">
        <f t="shared" si="29"/>
        <v>1</v>
      </c>
      <c r="CR26" s="394">
        <v>1</v>
      </c>
      <c r="CS26" s="38">
        <f t="shared" si="30"/>
        <v>0.6666666666666667</v>
      </c>
      <c r="CT26" s="394">
        <v>0</v>
      </c>
      <c r="CU26" s="381">
        <f t="shared" si="31"/>
        <v>1</v>
      </c>
      <c r="CV26" s="393">
        <v>2</v>
      </c>
      <c r="CW26" s="165">
        <f t="shared" si="32"/>
        <v>0.6</v>
      </c>
      <c r="CX26" s="393">
        <f>1+2+1+1</f>
        <v>5</v>
      </c>
      <c r="CY26" s="165">
        <f t="shared" si="33"/>
        <v>0.5454545454545454</v>
      </c>
      <c r="CZ26" s="393">
        <v>0</v>
      </c>
      <c r="DA26" s="166">
        <f t="shared" si="34"/>
        <v>1</v>
      </c>
      <c r="DB26" s="388">
        <f t="shared" si="35"/>
        <v>8</v>
      </c>
      <c r="DC26" s="165">
        <f t="shared" si="36"/>
        <v>0.7037037037037037</v>
      </c>
      <c r="DD26" s="396">
        <v>0</v>
      </c>
      <c r="DE26" s="69">
        <v>1</v>
      </c>
      <c r="DF26" s="394">
        <v>4</v>
      </c>
      <c r="DG26" s="155">
        <f t="shared" si="37"/>
        <v>0.7142857142857143</v>
      </c>
      <c r="DH26" s="73">
        <v>4</v>
      </c>
      <c r="DI26" s="38">
        <f t="shared" si="38"/>
        <v>0.9111111111111111</v>
      </c>
      <c r="DJ26" s="66">
        <v>1</v>
      </c>
      <c r="DK26" s="69">
        <v>0</v>
      </c>
      <c r="DL26" s="394">
        <v>1</v>
      </c>
      <c r="DM26" s="397">
        <v>0.8</v>
      </c>
      <c r="DN26" s="385">
        <f t="shared" si="39"/>
        <v>10</v>
      </c>
      <c r="DO26" s="390">
        <f t="shared" si="40"/>
        <v>0.8387096774193549</v>
      </c>
      <c r="DP26" s="175">
        <v>278</v>
      </c>
      <c r="DQ26" s="166">
        <f>1-DP26/(1388)*100/100</f>
        <v>0.7997118155619597</v>
      </c>
      <c r="DR26" s="66">
        <v>1</v>
      </c>
      <c r="DS26" s="28">
        <f t="shared" si="41"/>
        <v>0.75</v>
      </c>
      <c r="DT26" s="45">
        <v>1</v>
      </c>
      <c r="DU26" s="28">
        <v>1</v>
      </c>
      <c r="DV26" s="75"/>
      <c r="DW26" s="45">
        <v>1</v>
      </c>
      <c r="DX26" s="28">
        <v>1</v>
      </c>
      <c r="DY26" s="46"/>
      <c r="DZ26" s="45">
        <v>1</v>
      </c>
      <c r="EA26" s="28">
        <v>1</v>
      </c>
      <c r="EB26" s="76"/>
      <c r="EC26" s="45">
        <v>1</v>
      </c>
      <c r="ED26" s="69">
        <v>1</v>
      </c>
      <c r="EE26" s="49"/>
      <c r="EF26" s="49">
        <v>0</v>
      </c>
      <c r="EG26" s="69">
        <v>0</v>
      </c>
      <c r="EH26" s="49"/>
      <c r="EI26" s="49">
        <v>0</v>
      </c>
      <c r="EJ26" s="172">
        <v>0</v>
      </c>
      <c r="EK26" s="75"/>
      <c r="EL26" s="49"/>
      <c r="EM26" s="158"/>
      <c r="EN26" s="176"/>
      <c r="EO26" s="174"/>
      <c r="EP26" s="426">
        <f t="shared" si="42"/>
        <v>20.433847304236338</v>
      </c>
      <c r="EQ26" s="427">
        <f t="shared" si="43"/>
        <v>17</v>
      </c>
      <c r="ER26" s="430">
        <f t="shared" si="44"/>
        <v>1.617057655305351</v>
      </c>
      <c r="ES26" s="79" t="s">
        <v>117</v>
      </c>
      <c r="EU26" s="54">
        <v>20.244699851664663</v>
      </c>
      <c r="EV26" s="54">
        <v>18</v>
      </c>
      <c r="EW26" s="54">
        <v>1.552704073700215</v>
      </c>
      <c r="EX26" s="54" t="s">
        <v>116</v>
      </c>
    </row>
    <row r="27" spans="1:154" s="54" customFormat="1" ht="18.75">
      <c r="A27" s="55">
        <f t="shared" si="0"/>
        <v>18</v>
      </c>
      <c r="B27" s="268" t="s">
        <v>115</v>
      </c>
      <c r="C27" s="57">
        <v>0</v>
      </c>
      <c r="D27" s="158">
        <v>1</v>
      </c>
      <c r="E27" s="57">
        <v>0</v>
      </c>
      <c r="F27" s="158">
        <v>1</v>
      </c>
      <c r="G27" s="189">
        <v>4441.3</v>
      </c>
      <c r="H27" s="185">
        <v>2634.24895</v>
      </c>
      <c r="I27" s="58">
        <f t="shared" si="1"/>
        <v>0.40687434985252063</v>
      </c>
      <c r="J27" s="151">
        <v>0</v>
      </c>
      <c r="K27" s="189">
        <v>2634.24895</v>
      </c>
      <c r="L27" s="185">
        <v>9363.79463</v>
      </c>
      <c r="M27" s="58">
        <f t="shared" si="2"/>
        <v>0.2813228027834267</v>
      </c>
      <c r="N27" s="59">
        <v>0.3</v>
      </c>
      <c r="O27" s="189">
        <v>2634.24895</v>
      </c>
      <c r="P27" s="185">
        <v>2634.24895</v>
      </c>
      <c r="Q27" s="58">
        <f t="shared" si="3"/>
        <v>1</v>
      </c>
      <c r="R27" s="28">
        <v>1</v>
      </c>
      <c r="S27" s="189">
        <v>2634.24895</v>
      </c>
      <c r="T27" s="185">
        <v>1904.09823</v>
      </c>
      <c r="U27" s="61">
        <f t="shared" si="4"/>
        <v>1.383462737634077</v>
      </c>
      <c r="V27" s="155">
        <v>1</v>
      </c>
      <c r="W27" s="189">
        <v>876.088</v>
      </c>
      <c r="X27" s="185">
        <v>1183.3999</v>
      </c>
      <c r="Y27" s="61">
        <f t="shared" si="5"/>
        <v>1.350777433317201</v>
      </c>
      <c r="Z27" s="155">
        <v>0</v>
      </c>
      <c r="AA27" s="189">
        <v>1183.3999</v>
      </c>
      <c r="AB27" s="185">
        <v>2437.96573</v>
      </c>
      <c r="AC27" s="61">
        <f t="shared" si="6"/>
        <v>0.48540464922778054</v>
      </c>
      <c r="AD27" s="181">
        <f t="shared" si="7"/>
        <v>0.5145953507722194</v>
      </c>
      <c r="AE27" s="184">
        <v>6729.54568</v>
      </c>
      <c r="AF27" s="185">
        <v>9363.79463</v>
      </c>
      <c r="AG27" s="185">
        <v>135.7</v>
      </c>
      <c r="AH27" s="58">
        <f t="shared" si="8"/>
        <v>0.7292454130371223</v>
      </c>
      <c r="AI27" s="60">
        <v>0.3</v>
      </c>
      <c r="AJ27" s="195">
        <v>148.5</v>
      </c>
      <c r="AK27" s="196">
        <v>196.9</v>
      </c>
      <c r="AL27" s="196">
        <f t="shared" si="9"/>
        <v>-48.400000000000006</v>
      </c>
      <c r="AM27" s="147">
        <v>1</v>
      </c>
      <c r="AN27" s="66">
        <v>1904.6</v>
      </c>
      <c r="AO27" s="66">
        <v>2639.7</v>
      </c>
      <c r="AP27" s="58">
        <f t="shared" si="10"/>
        <v>0.7215213850058719</v>
      </c>
      <c r="AQ27" s="391">
        <v>1</v>
      </c>
      <c r="AR27" s="434">
        <f t="shared" si="11"/>
        <v>1.9302344602746584</v>
      </c>
      <c r="AS27" s="434">
        <v>7386.63</v>
      </c>
      <c r="AT27" s="66">
        <v>7386.6</v>
      </c>
      <c r="AU27" s="66">
        <v>3747.6</v>
      </c>
      <c r="AV27" s="26">
        <f t="shared" si="12"/>
        <v>0.5073490888267045</v>
      </c>
      <c r="AW27" s="35">
        <v>0.8</v>
      </c>
      <c r="AX27" s="66">
        <v>1882.3</v>
      </c>
      <c r="AY27" s="66">
        <f t="shared" si="13"/>
        <v>98.82915047779062</v>
      </c>
      <c r="AZ27" s="66">
        <f t="shared" si="14"/>
        <v>50.22681182623546</v>
      </c>
      <c r="BA27" s="35">
        <v>0</v>
      </c>
      <c r="BB27" s="35">
        <v>1</v>
      </c>
      <c r="BC27" s="392">
        <v>2713</v>
      </c>
      <c r="BD27" s="36">
        <f>AT27*1000/BC27</f>
        <v>2722.6686325101364</v>
      </c>
      <c r="BE27" s="58">
        <f>BD27/BD67*100%</f>
        <v>0.7129416672550034</v>
      </c>
      <c r="BF27" s="35">
        <v>0.7</v>
      </c>
      <c r="BG27" s="68">
        <f>BD27*100/BD64</f>
        <v>71.29416672550035</v>
      </c>
      <c r="BH27" s="69">
        <f t="shared" si="16"/>
        <v>78.78253596555707</v>
      </c>
      <c r="BI27" s="69">
        <f t="shared" si="17"/>
        <v>20.313705629112174</v>
      </c>
      <c r="BJ27" s="66">
        <f>1500492.18/1000</f>
        <v>1500.49218</v>
      </c>
      <c r="BK27" s="66">
        <f t="shared" si="18"/>
        <v>553.0748912642831</v>
      </c>
      <c r="BL27" s="58">
        <f>BK27/BK67*100%</f>
        <v>0.8204701553404985</v>
      </c>
      <c r="BM27" s="68">
        <v>0</v>
      </c>
      <c r="BN27" s="73">
        <v>505.4</v>
      </c>
      <c r="BO27" s="71">
        <v>151.51</v>
      </c>
      <c r="BP27" s="58">
        <f t="shared" si="45"/>
        <v>0.23064042258452452</v>
      </c>
      <c r="BQ27" s="208">
        <v>1</v>
      </c>
      <c r="BR27" s="38">
        <v>1</v>
      </c>
      <c r="BS27" s="66">
        <v>388.755</v>
      </c>
      <c r="BT27" s="61">
        <f t="shared" si="19"/>
        <v>0.052629762001462105</v>
      </c>
      <c r="BU27" s="383">
        <f t="shared" si="20"/>
        <v>0.10525952400292421</v>
      </c>
      <c r="BV27" s="169">
        <v>0.43044425773909556</v>
      </c>
      <c r="BW27" s="166">
        <f t="shared" si="21"/>
        <v>0.9956955574226091</v>
      </c>
      <c r="BX27" s="393">
        <f>2+2+3</f>
        <v>7</v>
      </c>
      <c r="BY27" s="166">
        <f t="shared" si="22"/>
        <v>0.41666666666666663</v>
      </c>
      <c r="BZ27" s="394">
        <v>1</v>
      </c>
      <c r="CA27" s="381">
        <v>0</v>
      </c>
      <c r="CB27" s="394">
        <v>2</v>
      </c>
      <c r="CC27" s="28">
        <f t="shared" si="23"/>
        <v>0.5</v>
      </c>
      <c r="CD27" s="395">
        <v>2</v>
      </c>
      <c r="CE27" s="387">
        <v>0</v>
      </c>
      <c r="CF27" s="73">
        <v>1</v>
      </c>
      <c r="CG27" s="28">
        <f t="shared" si="24"/>
        <v>0</v>
      </c>
      <c r="CH27" s="73"/>
      <c r="CI27" s="48"/>
      <c r="CJ27" s="36">
        <v>1</v>
      </c>
      <c r="CK27" s="28">
        <f t="shared" si="25"/>
        <v>0</v>
      </c>
      <c r="CL27" s="388">
        <f t="shared" si="26"/>
        <v>14</v>
      </c>
      <c r="CM27" s="28">
        <f t="shared" si="27"/>
        <v>0.30000000000000004</v>
      </c>
      <c r="CN27" s="74"/>
      <c r="CO27" s="48">
        <f t="shared" si="28"/>
        <v>1</v>
      </c>
      <c r="CP27" s="66"/>
      <c r="CQ27" s="66">
        <f t="shared" si="29"/>
        <v>1</v>
      </c>
      <c r="CR27" s="394">
        <v>0</v>
      </c>
      <c r="CS27" s="38">
        <f t="shared" si="30"/>
        <v>1</v>
      </c>
      <c r="CT27" s="394">
        <v>0</v>
      </c>
      <c r="CU27" s="381">
        <f t="shared" si="31"/>
        <v>1</v>
      </c>
      <c r="CV27" s="393">
        <v>3</v>
      </c>
      <c r="CW27" s="165">
        <f t="shared" si="32"/>
        <v>0.4</v>
      </c>
      <c r="CX27" s="393">
        <f>4+3+1+1</f>
        <v>9</v>
      </c>
      <c r="CY27" s="165">
        <f t="shared" si="33"/>
        <v>0.18181818181818177</v>
      </c>
      <c r="CZ27" s="393">
        <v>3</v>
      </c>
      <c r="DA27" s="166">
        <f t="shared" si="34"/>
        <v>0.625</v>
      </c>
      <c r="DB27" s="388">
        <f t="shared" si="35"/>
        <v>15</v>
      </c>
      <c r="DC27" s="165">
        <f t="shared" si="36"/>
        <v>0.4444444444444444</v>
      </c>
      <c r="DD27" s="396">
        <v>0</v>
      </c>
      <c r="DE27" s="69">
        <v>1</v>
      </c>
      <c r="DF27" s="394">
        <v>7</v>
      </c>
      <c r="DG27" s="155">
        <f t="shared" si="37"/>
        <v>0.5</v>
      </c>
      <c r="DH27" s="73">
        <v>16</v>
      </c>
      <c r="DI27" s="38">
        <f t="shared" si="38"/>
        <v>0.6444444444444444</v>
      </c>
      <c r="DJ27" s="66">
        <v>1</v>
      </c>
      <c r="DK27" s="69">
        <v>0</v>
      </c>
      <c r="DL27" s="394">
        <v>1</v>
      </c>
      <c r="DM27" s="397">
        <v>0.8</v>
      </c>
      <c r="DN27" s="385">
        <f t="shared" si="39"/>
        <v>25</v>
      </c>
      <c r="DO27" s="390">
        <f t="shared" si="40"/>
        <v>0.5967741935483871</v>
      </c>
      <c r="DP27" s="175">
        <v>661</v>
      </c>
      <c r="DQ27" s="166">
        <f>1-DP27/(1650)*100/100</f>
        <v>0.5993939393939394</v>
      </c>
      <c r="DR27" s="66">
        <v>1</v>
      </c>
      <c r="DS27" s="28">
        <f t="shared" si="41"/>
        <v>0.75</v>
      </c>
      <c r="DT27" s="45">
        <v>1</v>
      </c>
      <c r="DU27" s="28">
        <v>1</v>
      </c>
      <c r="DV27" s="75"/>
      <c r="DW27" s="45">
        <v>1</v>
      </c>
      <c r="DX27" s="28">
        <v>1</v>
      </c>
      <c r="DY27" s="46"/>
      <c r="DZ27" s="45">
        <v>1</v>
      </c>
      <c r="EA27" s="28">
        <v>1</v>
      </c>
      <c r="EB27" s="76"/>
      <c r="EC27" s="45">
        <v>1</v>
      </c>
      <c r="ED27" s="69">
        <v>1</v>
      </c>
      <c r="EE27" s="49"/>
      <c r="EF27" s="49">
        <v>1</v>
      </c>
      <c r="EG27" s="69">
        <v>1</v>
      </c>
      <c r="EH27" s="49"/>
      <c r="EI27" s="49">
        <v>1</v>
      </c>
      <c r="EJ27" s="172">
        <v>1</v>
      </c>
      <c r="EK27" s="75"/>
      <c r="EL27" s="49"/>
      <c r="EM27" s="158"/>
      <c r="EN27" s="176"/>
      <c r="EO27" s="174"/>
      <c r="EP27" s="426">
        <f t="shared" si="42"/>
        <v>20.406163009584525</v>
      </c>
      <c r="EQ27" s="427">
        <f t="shared" si="43"/>
        <v>18</v>
      </c>
      <c r="ER27" s="430">
        <f t="shared" si="44"/>
        <v>1.617057655305351</v>
      </c>
      <c r="ES27" s="79" t="s">
        <v>117</v>
      </c>
      <c r="EU27" s="54">
        <v>20.3009034855816</v>
      </c>
      <c r="EV27" s="54">
        <v>17</v>
      </c>
      <c r="EW27" s="54">
        <v>1.552704073700215</v>
      </c>
      <c r="EX27" s="54" t="s">
        <v>116</v>
      </c>
    </row>
    <row r="28" spans="1:154" s="54" customFormat="1" ht="18.75">
      <c r="A28" s="55">
        <f t="shared" si="0"/>
        <v>19</v>
      </c>
      <c r="B28" s="56" t="s">
        <v>120</v>
      </c>
      <c r="C28" s="57">
        <v>0</v>
      </c>
      <c r="D28" s="158">
        <v>1</v>
      </c>
      <c r="E28" s="57">
        <v>0</v>
      </c>
      <c r="F28" s="158">
        <v>1</v>
      </c>
      <c r="G28" s="189">
        <v>4544</v>
      </c>
      <c r="H28" s="185">
        <v>8996.86131</v>
      </c>
      <c r="I28" s="58">
        <f t="shared" si="1"/>
        <v>-0.9799430699823944</v>
      </c>
      <c r="J28" s="151">
        <v>0</v>
      </c>
      <c r="K28" s="189">
        <v>8996.86131</v>
      </c>
      <c r="L28" s="185">
        <v>24406.39571</v>
      </c>
      <c r="M28" s="58">
        <f t="shared" si="2"/>
        <v>0.36862719989063064</v>
      </c>
      <c r="N28" s="59">
        <v>0.5</v>
      </c>
      <c r="O28" s="189">
        <v>8996.86131</v>
      </c>
      <c r="P28" s="185">
        <v>8996.86131</v>
      </c>
      <c r="Q28" s="58">
        <f t="shared" si="3"/>
        <v>1</v>
      </c>
      <c r="R28" s="28">
        <v>1</v>
      </c>
      <c r="S28" s="189">
        <v>8996.86131</v>
      </c>
      <c r="T28" s="185">
        <v>6280.87107</v>
      </c>
      <c r="U28" s="61">
        <f t="shared" si="4"/>
        <v>1.432422542945146</v>
      </c>
      <c r="V28" s="155">
        <v>1</v>
      </c>
      <c r="W28" s="189">
        <v>2512.5522</v>
      </c>
      <c r="X28" s="185">
        <v>2219.3494</v>
      </c>
      <c r="Y28" s="61">
        <f t="shared" si="5"/>
        <v>0.883304792632766</v>
      </c>
      <c r="Z28" s="155">
        <v>0.1</v>
      </c>
      <c r="AA28" s="189">
        <v>2219.3494</v>
      </c>
      <c r="AB28" s="185">
        <v>7156.39471</v>
      </c>
      <c r="AC28" s="61">
        <f t="shared" si="6"/>
        <v>0.31012115596402035</v>
      </c>
      <c r="AD28" s="181">
        <f t="shared" si="7"/>
        <v>0.6898788440359797</v>
      </c>
      <c r="AE28" s="184">
        <v>15409.5344</v>
      </c>
      <c r="AF28" s="185">
        <v>24406.39571</v>
      </c>
      <c r="AG28" s="185">
        <v>245.64</v>
      </c>
      <c r="AH28" s="58">
        <f t="shared" si="8"/>
        <v>0.6377919045645613</v>
      </c>
      <c r="AI28" s="60">
        <v>0.5</v>
      </c>
      <c r="AJ28" s="195">
        <v>-260.2</v>
      </c>
      <c r="AK28" s="196">
        <v>-216.6</v>
      </c>
      <c r="AL28" s="196">
        <f t="shared" si="9"/>
        <v>-43.599999999999994</v>
      </c>
      <c r="AM28" s="147">
        <v>1</v>
      </c>
      <c r="AN28" s="66">
        <v>3088.2</v>
      </c>
      <c r="AO28" s="66">
        <v>3445.2</v>
      </c>
      <c r="AP28" s="58">
        <f t="shared" si="10"/>
        <v>0.8963775687913619</v>
      </c>
      <c r="AQ28" s="391">
        <v>1</v>
      </c>
      <c r="AR28" s="434">
        <f t="shared" si="11"/>
        <v>6.159837921557734</v>
      </c>
      <c r="AS28" s="434">
        <v>23572.44</v>
      </c>
      <c r="AT28" s="66">
        <v>23572.4</v>
      </c>
      <c r="AU28" s="66">
        <v>6348.7</v>
      </c>
      <c r="AV28" s="26">
        <f t="shared" si="12"/>
        <v>0.2693272312921361</v>
      </c>
      <c r="AW28" s="35">
        <v>1</v>
      </c>
      <c r="AX28" s="66">
        <v>3082.51</v>
      </c>
      <c r="AY28" s="66">
        <f t="shared" si="13"/>
        <v>99.81575027524124</v>
      </c>
      <c r="AZ28" s="66">
        <f t="shared" si="14"/>
        <v>48.553404634019564</v>
      </c>
      <c r="BA28" s="35">
        <v>0</v>
      </c>
      <c r="BB28" s="35">
        <v>1</v>
      </c>
      <c r="BC28" s="392">
        <v>4731</v>
      </c>
      <c r="BD28" s="36">
        <f>AT28*1000/BC28</f>
        <v>4982.540689072078</v>
      </c>
      <c r="BE28" s="58">
        <f>BD28/BD30*100%</f>
        <v>1.34583647182932</v>
      </c>
      <c r="BF28" s="35">
        <v>1</v>
      </c>
      <c r="BG28" s="68">
        <f>BD28*100/BD30</f>
        <v>134.58364718293203</v>
      </c>
      <c r="BH28" s="69">
        <f t="shared" si="16"/>
        <v>117.30002266692573</v>
      </c>
      <c r="BI28" s="69">
        <f t="shared" si="17"/>
        <v>15.367375829359759</v>
      </c>
      <c r="BJ28" s="66">
        <f>3622459.3/1000</f>
        <v>3622.4593</v>
      </c>
      <c r="BK28" s="66">
        <f t="shared" si="18"/>
        <v>765.6857535404777</v>
      </c>
      <c r="BL28" s="58">
        <f>BK28/BK30*100%</f>
        <v>0.6881652554747956</v>
      </c>
      <c r="BM28" s="68">
        <v>0</v>
      </c>
      <c r="BN28" s="73">
        <v>884.6</v>
      </c>
      <c r="BO28" s="73">
        <v>358.02</v>
      </c>
      <c r="BP28" s="58">
        <f t="shared" si="45"/>
        <v>0.2881170430220019</v>
      </c>
      <c r="BQ28" s="208">
        <v>1</v>
      </c>
      <c r="BR28" s="38">
        <v>1</v>
      </c>
      <c r="BS28" s="66">
        <v>1314.991</v>
      </c>
      <c r="BT28" s="61">
        <f t="shared" si="19"/>
        <v>0.055785197943357484</v>
      </c>
      <c r="BU28" s="383">
        <f t="shared" si="20"/>
        <v>0.11157039588671497</v>
      </c>
      <c r="BV28" s="169">
        <v>3.9168938933461397</v>
      </c>
      <c r="BW28" s="166">
        <f t="shared" si="21"/>
        <v>0.9608310610665386</v>
      </c>
      <c r="BX28" s="393">
        <f>3+2+2</f>
        <v>7</v>
      </c>
      <c r="BY28" s="166">
        <f t="shared" si="22"/>
        <v>0.41666666666666663</v>
      </c>
      <c r="BZ28" s="394">
        <v>0</v>
      </c>
      <c r="CA28" s="381">
        <v>1</v>
      </c>
      <c r="CB28" s="394">
        <v>0</v>
      </c>
      <c r="CC28" s="28">
        <f t="shared" si="23"/>
        <v>1</v>
      </c>
      <c r="CD28" s="395">
        <v>0</v>
      </c>
      <c r="CE28" s="387">
        <f>1-CD28/1</f>
        <v>1</v>
      </c>
      <c r="CF28" s="73"/>
      <c r="CG28" s="28">
        <f t="shared" si="24"/>
        <v>1</v>
      </c>
      <c r="CH28" s="73"/>
      <c r="CI28" s="48"/>
      <c r="CJ28" s="36"/>
      <c r="CK28" s="28">
        <f t="shared" si="25"/>
        <v>1</v>
      </c>
      <c r="CL28" s="388">
        <f t="shared" si="26"/>
        <v>7</v>
      </c>
      <c r="CM28" s="28">
        <f t="shared" si="27"/>
        <v>0.65</v>
      </c>
      <c r="CN28" s="74"/>
      <c r="CO28" s="48">
        <f t="shared" si="28"/>
        <v>1</v>
      </c>
      <c r="CP28" s="66"/>
      <c r="CQ28" s="66">
        <f t="shared" si="29"/>
        <v>1</v>
      </c>
      <c r="CR28" s="394">
        <v>0</v>
      </c>
      <c r="CS28" s="38">
        <f t="shared" si="30"/>
        <v>1</v>
      </c>
      <c r="CT28" s="394">
        <v>0</v>
      </c>
      <c r="CU28" s="381">
        <f t="shared" si="31"/>
        <v>1</v>
      </c>
      <c r="CV28" s="393"/>
      <c r="CW28" s="165">
        <f t="shared" si="32"/>
        <v>1</v>
      </c>
      <c r="CX28" s="393">
        <f>2+4+2+1</f>
        <v>9</v>
      </c>
      <c r="CY28" s="165">
        <f t="shared" si="33"/>
        <v>0.18181818181818177</v>
      </c>
      <c r="CZ28" s="393">
        <v>2</v>
      </c>
      <c r="DA28" s="166">
        <f t="shared" si="34"/>
        <v>0.75</v>
      </c>
      <c r="DB28" s="388">
        <f t="shared" si="35"/>
        <v>11</v>
      </c>
      <c r="DC28" s="165">
        <f t="shared" si="36"/>
        <v>0.5925925925925926</v>
      </c>
      <c r="DD28" s="396">
        <v>0</v>
      </c>
      <c r="DE28" s="69">
        <v>1</v>
      </c>
      <c r="DF28" s="394">
        <v>5</v>
      </c>
      <c r="DG28" s="155">
        <f t="shared" si="37"/>
        <v>0.6428571428571428</v>
      </c>
      <c r="DH28" s="73">
        <v>32</v>
      </c>
      <c r="DI28" s="38">
        <f t="shared" si="38"/>
        <v>0.28888888888888886</v>
      </c>
      <c r="DJ28" s="66">
        <v>1</v>
      </c>
      <c r="DK28" s="69">
        <v>0</v>
      </c>
      <c r="DL28" s="394">
        <v>2</v>
      </c>
      <c r="DM28" s="397">
        <v>0.66</v>
      </c>
      <c r="DN28" s="385">
        <f t="shared" si="39"/>
        <v>40</v>
      </c>
      <c r="DO28" s="390">
        <f t="shared" si="40"/>
        <v>0.3548387096774194</v>
      </c>
      <c r="DP28" s="175">
        <v>414</v>
      </c>
      <c r="DQ28" s="166">
        <f>1-DP28/(2071)*100/100</f>
        <v>0.8000965717044906</v>
      </c>
      <c r="DR28" s="66">
        <v>1</v>
      </c>
      <c r="DS28" s="28">
        <f t="shared" si="41"/>
        <v>0.75</v>
      </c>
      <c r="DT28" s="45">
        <v>1</v>
      </c>
      <c r="DU28" s="28">
        <v>1</v>
      </c>
      <c r="DV28" s="75"/>
      <c r="DW28" s="45">
        <v>1</v>
      </c>
      <c r="DX28" s="28">
        <v>1</v>
      </c>
      <c r="DY28" s="46"/>
      <c r="DZ28" s="45">
        <v>1</v>
      </c>
      <c r="EA28" s="28">
        <v>1</v>
      </c>
      <c r="EB28" s="76"/>
      <c r="EC28" s="45">
        <v>1</v>
      </c>
      <c r="ED28" s="69">
        <v>1</v>
      </c>
      <c r="EE28" s="49"/>
      <c r="EF28" s="49">
        <v>1</v>
      </c>
      <c r="EG28" s="69">
        <v>1</v>
      </c>
      <c r="EH28" s="49"/>
      <c r="EI28" s="49">
        <v>1</v>
      </c>
      <c r="EJ28" s="172">
        <v>1</v>
      </c>
      <c r="EK28" s="75"/>
      <c r="EL28" s="49"/>
      <c r="EM28" s="158"/>
      <c r="EN28" s="176"/>
      <c r="EO28" s="174"/>
      <c r="EP28" s="377">
        <f t="shared" si="42"/>
        <v>22.009808174963737</v>
      </c>
      <c r="EQ28" s="24">
        <f t="shared" si="43"/>
        <v>19</v>
      </c>
      <c r="ER28" s="428">
        <f t="shared" si="44"/>
        <v>1.617057655305351</v>
      </c>
      <c r="ES28" s="52" t="s">
        <v>116</v>
      </c>
      <c r="ET28" s="80"/>
      <c r="EU28" s="54">
        <v>22.89823777907702</v>
      </c>
      <c r="EV28" s="54">
        <v>19</v>
      </c>
      <c r="EW28" s="54">
        <v>1.552704073700215</v>
      </c>
      <c r="EX28" s="54" t="s">
        <v>116</v>
      </c>
    </row>
    <row r="29" spans="1:154" s="54" customFormat="1" ht="18.75">
      <c r="A29" s="55">
        <f t="shared" si="0"/>
        <v>20</v>
      </c>
      <c r="B29" s="56" t="s">
        <v>128</v>
      </c>
      <c r="C29" s="57">
        <v>0</v>
      </c>
      <c r="D29" s="158">
        <v>1</v>
      </c>
      <c r="E29" s="57">
        <v>0</v>
      </c>
      <c r="F29" s="158">
        <v>1</v>
      </c>
      <c r="G29" s="189">
        <v>4545.88</v>
      </c>
      <c r="H29" s="185">
        <v>7173.12442</v>
      </c>
      <c r="I29" s="58">
        <f t="shared" si="1"/>
        <v>-0.5779396772462098</v>
      </c>
      <c r="J29" s="151">
        <v>0</v>
      </c>
      <c r="K29" s="189">
        <v>7173.12442</v>
      </c>
      <c r="L29" s="185">
        <v>12318.67832</v>
      </c>
      <c r="M29" s="58">
        <f t="shared" si="2"/>
        <v>0.5822965933247942</v>
      </c>
      <c r="N29" s="59">
        <v>0.8</v>
      </c>
      <c r="O29" s="189">
        <v>7173.12442</v>
      </c>
      <c r="P29" s="185">
        <v>6167.0933</v>
      </c>
      <c r="Q29" s="58">
        <f t="shared" si="3"/>
        <v>1.1631288957473693</v>
      </c>
      <c r="R29" s="28">
        <v>1</v>
      </c>
      <c r="S29" s="189">
        <v>7173.12442</v>
      </c>
      <c r="T29" s="185">
        <v>4124.98602</v>
      </c>
      <c r="U29" s="61">
        <f t="shared" si="4"/>
        <v>1.7389451467765216</v>
      </c>
      <c r="V29" s="155">
        <v>1</v>
      </c>
      <c r="W29" s="189">
        <v>1689.0246</v>
      </c>
      <c r="X29" s="185">
        <v>2458.5081</v>
      </c>
      <c r="Y29" s="61">
        <f t="shared" si="5"/>
        <v>1.4555786221230882</v>
      </c>
      <c r="Z29" s="155">
        <v>0</v>
      </c>
      <c r="AA29" s="189">
        <v>2458.5081</v>
      </c>
      <c r="AB29" s="185">
        <v>4624.8495</v>
      </c>
      <c r="AC29" s="61">
        <f t="shared" si="6"/>
        <v>0.5315866170347813</v>
      </c>
      <c r="AD29" s="181">
        <f t="shared" si="7"/>
        <v>0.4684133829652187</v>
      </c>
      <c r="AE29" s="184">
        <v>5145.5539</v>
      </c>
      <c r="AF29" s="185">
        <v>12318.67832</v>
      </c>
      <c r="AG29" s="185">
        <v>154.56</v>
      </c>
      <c r="AH29" s="58">
        <f t="shared" si="8"/>
        <v>0.4230108393092315</v>
      </c>
      <c r="AI29" s="60">
        <v>0.8</v>
      </c>
      <c r="AJ29" s="195">
        <v>1235.9</v>
      </c>
      <c r="AK29" s="196">
        <v>1119.6</v>
      </c>
      <c r="AL29" s="196">
        <f t="shared" si="9"/>
        <v>116.30000000000018</v>
      </c>
      <c r="AM29" s="147">
        <v>0</v>
      </c>
      <c r="AN29" s="66">
        <v>2502</v>
      </c>
      <c r="AO29" s="66">
        <v>2638.2</v>
      </c>
      <c r="AP29" s="58">
        <f t="shared" si="10"/>
        <v>0.9483738912895157</v>
      </c>
      <c r="AQ29" s="391">
        <v>1</v>
      </c>
      <c r="AR29" s="434">
        <f t="shared" si="11"/>
        <v>3.2400009511891037</v>
      </c>
      <c r="AS29" s="434">
        <v>12398.81</v>
      </c>
      <c r="AT29" s="66">
        <v>12398.8</v>
      </c>
      <c r="AU29" s="66">
        <v>4561.4</v>
      </c>
      <c r="AV29" s="26">
        <f t="shared" si="12"/>
        <v>0.36789014429610584</v>
      </c>
      <c r="AW29" s="35">
        <v>1</v>
      </c>
      <c r="AX29" s="66">
        <v>2247.42</v>
      </c>
      <c r="AY29" s="66">
        <f t="shared" si="13"/>
        <v>89.82494004796163</v>
      </c>
      <c r="AZ29" s="66">
        <f t="shared" si="14"/>
        <v>49.270399438768806</v>
      </c>
      <c r="BA29" s="35">
        <v>0</v>
      </c>
      <c r="BB29" s="35">
        <v>1</v>
      </c>
      <c r="BC29" s="392">
        <v>3259</v>
      </c>
      <c r="BD29" s="36">
        <f>AS29*1000/BC29</f>
        <v>3804.482970236269</v>
      </c>
      <c r="BE29" s="58">
        <f>BD29/BD38*100%</f>
        <v>0.9962190769219196</v>
      </c>
      <c r="BF29" s="35">
        <v>1</v>
      </c>
      <c r="BG29" s="68">
        <f>BD29*100/BD51</f>
        <v>99.62190769219197</v>
      </c>
      <c r="BH29" s="69">
        <f t="shared" si="16"/>
        <v>37.15310711430855</v>
      </c>
      <c r="BI29" s="69">
        <f t="shared" si="17"/>
        <v>7.497263767461367</v>
      </c>
      <c r="BJ29" s="66">
        <f>929570.74/1000</f>
        <v>929.57074</v>
      </c>
      <c r="BK29" s="66">
        <f t="shared" si="18"/>
        <v>285.23189321877874</v>
      </c>
      <c r="BL29" s="58">
        <f>BK29/BK38*100%</f>
        <v>0.4231330321329828</v>
      </c>
      <c r="BM29" s="68">
        <v>0</v>
      </c>
      <c r="BN29" s="73">
        <v>143.2</v>
      </c>
      <c r="BO29" s="71">
        <v>65.51</v>
      </c>
      <c r="BP29" s="58">
        <f t="shared" si="45"/>
        <v>0.31388050404868006</v>
      </c>
      <c r="BQ29" s="208">
        <v>1</v>
      </c>
      <c r="BR29" s="38">
        <v>1</v>
      </c>
      <c r="BS29" s="66">
        <v>1268.215</v>
      </c>
      <c r="BT29" s="61">
        <f t="shared" si="19"/>
        <v>0.10228530180340033</v>
      </c>
      <c r="BU29" s="383">
        <f t="shared" si="20"/>
        <v>0.20457060360680066</v>
      </c>
      <c r="BV29" s="169">
        <v>0</v>
      </c>
      <c r="BW29" s="166">
        <f t="shared" si="21"/>
        <v>1</v>
      </c>
      <c r="BX29" s="393">
        <f>3+1+1</f>
        <v>5</v>
      </c>
      <c r="BY29" s="166">
        <f t="shared" si="22"/>
        <v>0.5833333333333333</v>
      </c>
      <c r="BZ29" s="394">
        <v>1</v>
      </c>
      <c r="CA29" s="381">
        <v>0</v>
      </c>
      <c r="CB29" s="394">
        <v>4</v>
      </c>
      <c r="CC29" s="28">
        <f t="shared" si="23"/>
        <v>0</v>
      </c>
      <c r="CD29" s="395">
        <v>1</v>
      </c>
      <c r="CE29" s="387">
        <v>0.5</v>
      </c>
      <c r="CF29" s="73">
        <v>1</v>
      </c>
      <c r="CG29" s="28">
        <f t="shared" si="24"/>
        <v>0</v>
      </c>
      <c r="CH29" s="73"/>
      <c r="CI29" s="48"/>
      <c r="CJ29" s="36"/>
      <c r="CK29" s="28">
        <f t="shared" si="25"/>
        <v>1</v>
      </c>
      <c r="CL29" s="388">
        <f t="shared" si="26"/>
        <v>12</v>
      </c>
      <c r="CM29" s="28">
        <f t="shared" si="27"/>
        <v>0.4</v>
      </c>
      <c r="CN29" s="74"/>
      <c r="CO29" s="48">
        <f t="shared" si="28"/>
        <v>1</v>
      </c>
      <c r="CP29" s="66"/>
      <c r="CQ29" s="66">
        <f t="shared" si="29"/>
        <v>1</v>
      </c>
      <c r="CR29" s="394">
        <v>1</v>
      </c>
      <c r="CS29" s="38">
        <f t="shared" si="30"/>
        <v>0.6666666666666667</v>
      </c>
      <c r="CT29" s="394">
        <v>0</v>
      </c>
      <c r="CU29" s="381">
        <f t="shared" si="31"/>
        <v>1</v>
      </c>
      <c r="CV29" s="393">
        <v>2</v>
      </c>
      <c r="CW29" s="165">
        <f t="shared" si="32"/>
        <v>0.6</v>
      </c>
      <c r="CX29" s="393">
        <f>2+3+1+1</f>
        <v>7</v>
      </c>
      <c r="CY29" s="165">
        <f t="shared" si="33"/>
        <v>0.36363636363636365</v>
      </c>
      <c r="CZ29" s="393">
        <v>0</v>
      </c>
      <c r="DA29" s="166">
        <f t="shared" si="34"/>
        <v>1</v>
      </c>
      <c r="DB29" s="388">
        <f t="shared" si="35"/>
        <v>10</v>
      </c>
      <c r="DC29" s="165">
        <f t="shared" si="36"/>
        <v>0.6296296296296297</v>
      </c>
      <c r="DD29" s="396">
        <v>0</v>
      </c>
      <c r="DE29" s="69">
        <v>1</v>
      </c>
      <c r="DF29" s="394">
        <v>7</v>
      </c>
      <c r="DG29" s="155">
        <f t="shared" si="37"/>
        <v>0.5</v>
      </c>
      <c r="DH29" s="73">
        <v>4</v>
      </c>
      <c r="DI29" s="38">
        <f t="shared" si="38"/>
        <v>0.9111111111111111</v>
      </c>
      <c r="DJ29" s="66">
        <v>1</v>
      </c>
      <c r="DK29" s="69">
        <v>0</v>
      </c>
      <c r="DL29" s="394">
        <v>2</v>
      </c>
      <c r="DM29" s="397">
        <v>0.6666666666666667</v>
      </c>
      <c r="DN29" s="385">
        <f t="shared" si="39"/>
        <v>14</v>
      </c>
      <c r="DO29" s="390">
        <f t="shared" si="40"/>
        <v>0.7741935483870968</v>
      </c>
      <c r="DP29" s="175">
        <v>172</v>
      </c>
      <c r="DQ29" s="166">
        <f>1-DP29/(1722)*100/100</f>
        <v>0.9001161440185831</v>
      </c>
      <c r="DR29" s="66">
        <v>2</v>
      </c>
      <c r="DS29" s="28">
        <f t="shared" si="41"/>
        <v>0.5</v>
      </c>
      <c r="DT29" s="45">
        <v>1</v>
      </c>
      <c r="DU29" s="28">
        <v>1</v>
      </c>
      <c r="DV29" s="75"/>
      <c r="DW29" s="45">
        <v>1</v>
      </c>
      <c r="DX29" s="28">
        <v>1</v>
      </c>
      <c r="DY29" s="46"/>
      <c r="DZ29" s="45">
        <v>1</v>
      </c>
      <c r="EA29" s="28">
        <v>1</v>
      </c>
      <c r="EB29" s="76"/>
      <c r="EC29" s="45">
        <v>1</v>
      </c>
      <c r="ED29" s="69">
        <v>1</v>
      </c>
      <c r="EE29" s="49"/>
      <c r="EF29" s="49">
        <v>1</v>
      </c>
      <c r="EG29" s="69">
        <v>1</v>
      </c>
      <c r="EH29" s="49"/>
      <c r="EI29" s="49">
        <v>1</v>
      </c>
      <c r="EJ29" s="172">
        <v>1</v>
      </c>
      <c r="EK29" s="75"/>
      <c r="EL29" s="49"/>
      <c r="EM29" s="158"/>
      <c r="EN29" s="176"/>
      <c r="EO29" s="174"/>
      <c r="EP29" s="377">
        <f t="shared" si="42"/>
        <v>21.476923308607326</v>
      </c>
      <c r="EQ29" s="24">
        <f t="shared" si="43"/>
        <v>20</v>
      </c>
      <c r="ER29" s="428">
        <f t="shared" si="44"/>
        <v>1.617057655305351</v>
      </c>
      <c r="ES29" s="52" t="s">
        <v>116</v>
      </c>
      <c r="EU29" s="54">
        <v>21.28406506910028</v>
      </c>
      <c r="EV29" s="54">
        <v>20</v>
      </c>
      <c r="EW29" s="54">
        <v>1.552704073700215</v>
      </c>
      <c r="EX29" s="54" t="s">
        <v>116</v>
      </c>
    </row>
    <row r="30" spans="1:154" s="54" customFormat="1" ht="18.75">
      <c r="A30" s="55">
        <f t="shared" si="0"/>
        <v>21</v>
      </c>
      <c r="B30" s="56" t="s">
        <v>118</v>
      </c>
      <c r="C30" s="57">
        <v>0</v>
      </c>
      <c r="D30" s="158">
        <v>1</v>
      </c>
      <c r="E30" s="57">
        <v>0</v>
      </c>
      <c r="F30" s="158">
        <v>1</v>
      </c>
      <c r="G30" s="189">
        <v>2804.4</v>
      </c>
      <c r="H30" s="185">
        <v>4710.75636</v>
      </c>
      <c r="I30" s="58">
        <f t="shared" si="1"/>
        <v>-0.6797733418913137</v>
      </c>
      <c r="J30" s="151">
        <v>0</v>
      </c>
      <c r="K30" s="189">
        <v>4710.75636</v>
      </c>
      <c r="L30" s="185">
        <v>12891.62184</v>
      </c>
      <c r="M30" s="58">
        <f t="shared" si="2"/>
        <v>0.36541223582773047</v>
      </c>
      <c r="N30" s="59">
        <v>0.5</v>
      </c>
      <c r="O30" s="189">
        <v>4710.75636</v>
      </c>
      <c r="P30" s="185">
        <v>4680.91801</v>
      </c>
      <c r="Q30" s="58">
        <f t="shared" si="3"/>
        <v>1.0063744654224354</v>
      </c>
      <c r="R30" s="28">
        <v>1</v>
      </c>
      <c r="S30" s="189">
        <v>4710.75636</v>
      </c>
      <c r="T30" s="185">
        <v>3678.13662</v>
      </c>
      <c r="U30" s="61">
        <f t="shared" si="4"/>
        <v>1.2807453465390852</v>
      </c>
      <c r="V30" s="155">
        <v>1</v>
      </c>
      <c r="W30" s="189">
        <v>709.0411</v>
      </c>
      <c r="X30" s="185">
        <v>2008.0181</v>
      </c>
      <c r="Y30" s="61">
        <f t="shared" si="5"/>
        <v>2.832019328639764</v>
      </c>
      <c r="Z30" s="155">
        <v>0</v>
      </c>
      <c r="AA30" s="189">
        <v>2008.0181</v>
      </c>
      <c r="AB30" s="185">
        <v>4071.22714</v>
      </c>
      <c r="AC30" s="61">
        <f t="shared" si="6"/>
        <v>0.4932218299173551</v>
      </c>
      <c r="AD30" s="181">
        <f t="shared" si="7"/>
        <v>0.5067781700826449</v>
      </c>
      <c r="AE30" s="184">
        <v>8180.86548</v>
      </c>
      <c r="AF30" s="185">
        <v>12891.62184</v>
      </c>
      <c r="AG30" s="185">
        <v>193.89</v>
      </c>
      <c r="AH30" s="58">
        <f t="shared" si="8"/>
        <v>0.6442777011740705</v>
      </c>
      <c r="AI30" s="60">
        <v>0.5</v>
      </c>
      <c r="AJ30" s="195">
        <v>1768.7</v>
      </c>
      <c r="AK30" s="196">
        <v>1108.7</v>
      </c>
      <c r="AL30" s="196">
        <f t="shared" si="9"/>
        <v>660</v>
      </c>
      <c r="AM30" s="147">
        <v>0</v>
      </c>
      <c r="AN30" s="66">
        <v>2776.4</v>
      </c>
      <c r="AO30" s="66">
        <v>2992</v>
      </c>
      <c r="AP30" s="58">
        <f t="shared" si="10"/>
        <v>0.9279411764705883</v>
      </c>
      <c r="AQ30" s="391">
        <v>1</v>
      </c>
      <c r="AR30" s="434">
        <f t="shared" si="11"/>
        <v>3.5359932308784203</v>
      </c>
      <c r="AS30" s="434">
        <v>13531.46</v>
      </c>
      <c r="AT30" s="66">
        <v>13531.5</v>
      </c>
      <c r="AU30" s="66">
        <v>6670.8</v>
      </c>
      <c r="AV30" s="26">
        <f t="shared" si="12"/>
        <v>0.49298449686877843</v>
      </c>
      <c r="AW30" s="35">
        <v>1</v>
      </c>
      <c r="AX30" s="66">
        <v>2749.37</v>
      </c>
      <c r="AY30" s="66">
        <f t="shared" si="13"/>
        <v>99.02643711280795</v>
      </c>
      <c r="AZ30" s="66">
        <f t="shared" si="14"/>
        <v>41.21499670204473</v>
      </c>
      <c r="BA30" s="35">
        <v>0</v>
      </c>
      <c r="BB30" s="35">
        <v>1</v>
      </c>
      <c r="BC30" s="392">
        <v>3655</v>
      </c>
      <c r="BD30" s="36">
        <f>AT30*1000/BC30</f>
        <v>3702.18878248974</v>
      </c>
      <c r="BE30" s="58">
        <f>BD30/BD31*100%</f>
        <v>1.0136035690901533</v>
      </c>
      <c r="BF30" s="35">
        <v>1</v>
      </c>
      <c r="BG30" s="68">
        <f>BD30*100/BD31</f>
        <v>101.36035690901532</v>
      </c>
      <c r="BH30" s="69">
        <f t="shared" si="16"/>
        <v>146.4748865437257</v>
      </c>
      <c r="BI30" s="69">
        <f t="shared" si="17"/>
        <v>30.05379115397406</v>
      </c>
      <c r="BJ30" s="66">
        <f>4066728.75/1000</f>
        <v>4066.72875</v>
      </c>
      <c r="BK30" s="66">
        <f t="shared" si="18"/>
        <v>1112.6480848153215</v>
      </c>
      <c r="BL30" s="58">
        <f>BK30/BK31*100%</f>
        <v>0.804796013431408</v>
      </c>
      <c r="BM30" s="68">
        <v>0</v>
      </c>
      <c r="BN30" s="73">
        <v>1105.6</v>
      </c>
      <c r="BO30" s="71">
        <v>223</v>
      </c>
      <c r="BP30" s="58">
        <f t="shared" si="45"/>
        <v>0.16784585277735964</v>
      </c>
      <c r="BQ30" s="208">
        <v>1</v>
      </c>
      <c r="BR30" s="38">
        <v>1</v>
      </c>
      <c r="BS30" s="66"/>
      <c r="BT30" s="61">
        <f t="shared" si="19"/>
        <v>0</v>
      </c>
      <c r="BU30" s="383">
        <f t="shared" si="20"/>
        <v>0</v>
      </c>
      <c r="BV30" s="169">
        <v>0.4786655150784386</v>
      </c>
      <c r="BW30" s="166">
        <f t="shared" si="21"/>
        <v>0.9952133448492156</v>
      </c>
      <c r="BX30" s="393">
        <f>3+2+1</f>
        <v>6</v>
      </c>
      <c r="BY30" s="166">
        <f t="shared" si="22"/>
        <v>0.5</v>
      </c>
      <c r="BZ30" s="394">
        <v>0</v>
      </c>
      <c r="CA30" s="381">
        <v>1</v>
      </c>
      <c r="CB30" s="394">
        <v>1</v>
      </c>
      <c r="CC30" s="28">
        <f t="shared" si="23"/>
        <v>0.75</v>
      </c>
      <c r="CD30" s="395">
        <v>1</v>
      </c>
      <c r="CE30" s="387">
        <v>0.5</v>
      </c>
      <c r="CF30" s="73">
        <v>1</v>
      </c>
      <c r="CG30" s="28">
        <f t="shared" si="24"/>
        <v>0</v>
      </c>
      <c r="CH30" s="73"/>
      <c r="CI30" s="48"/>
      <c r="CJ30" s="36"/>
      <c r="CK30" s="28">
        <f t="shared" si="25"/>
        <v>1</v>
      </c>
      <c r="CL30" s="388">
        <f t="shared" si="26"/>
        <v>9</v>
      </c>
      <c r="CM30" s="28">
        <f t="shared" si="27"/>
        <v>0.55</v>
      </c>
      <c r="CN30" s="74"/>
      <c r="CO30" s="48">
        <f t="shared" si="28"/>
        <v>1</v>
      </c>
      <c r="CP30" s="66"/>
      <c r="CQ30" s="66">
        <f t="shared" si="29"/>
        <v>1</v>
      </c>
      <c r="CR30" s="394">
        <v>0</v>
      </c>
      <c r="CS30" s="38">
        <f t="shared" si="30"/>
        <v>1</v>
      </c>
      <c r="CT30" s="394">
        <v>1</v>
      </c>
      <c r="CU30" s="381">
        <f t="shared" si="31"/>
        <v>0.5</v>
      </c>
      <c r="CV30" s="393"/>
      <c r="CW30" s="165">
        <f t="shared" si="32"/>
        <v>1</v>
      </c>
      <c r="CX30" s="393">
        <f>4+3+1+1</f>
        <v>9</v>
      </c>
      <c r="CY30" s="165">
        <f t="shared" si="33"/>
        <v>0.18181818181818177</v>
      </c>
      <c r="CZ30" s="393">
        <v>1</v>
      </c>
      <c r="DA30" s="166">
        <f t="shared" si="34"/>
        <v>0.875</v>
      </c>
      <c r="DB30" s="388">
        <f t="shared" si="35"/>
        <v>11</v>
      </c>
      <c r="DC30" s="165">
        <f t="shared" si="36"/>
        <v>0.5925925925925926</v>
      </c>
      <c r="DD30" s="396">
        <v>0</v>
      </c>
      <c r="DE30" s="69">
        <v>1</v>
      </c>
      <c r="DF30" s="394">
        <v>4</v>
      </c>
      <c r="DG30" s="155">
        <f t="shared" si="37"/>
        <v>0.7142857142857143</v>
      </c>
      <c r="DH30" s="73">
        <v>31</v>
      </c>
      <c r="DI30" s="38">
        <f t="shared" si="38"/>
        <v>0.3111111111111111</v>
      </c>
      <c r="DJ30" s="66">
        <v>1</v>
      </c>
      <c r="DK30" s="69">
        <v>0</v>
      </c>
      <c r="DL30" s="394">
        <v>1</v>
      </c>
      <c r="DM30" s="397">
        <v>0.8</v>
      </c>
      <c r="DN30" s="385">
        <f t="shared" si="39"/>
        <v>37</v>
      </c>
      <c r="DO30" s="390">
        <f t="shared" si="40"/>
        <v>0.4032258064516129</v>
      </c>
      <c r="DP30" s="175">
        <v>137</v>
      </c>
      <c r="DQ30" s="166">
        <f>1-DP30/(1371)*100/100</f>
        <v>0.900072939460248</v>
      </c>
      <c r="DR30" s="66">
        <v>0</v>
      </c>
      <c r="DS30" s="28">
        <f t="shared" si="41"/>
        <v>1</v>
      </c>
      <c r="DT30" s="45">
        <v>1</v>
      </c>
      <c r="DU30" s="28">
        <v>1</v>
      </c>
      <c r="DV30" s="75"/>
      <c r="DW30" s="45">
        <v>1</v>
      </c>
      <c r="DX30" s="28">
        <v>1</v>
      </c>
      <c r="DY30" s="46"/>
      <c r="DZ30" s="45">
        <v>1</v>
      </c>
      <c r="EA30" s="28">
        <v>1</v>
      </c>
      <c r="EB30" s="76"/>
      <c r="EC30" s="45">
        <v>1</v>
      </c>
      <c r="ED30" s="69">
        <v>1</v>
      </c>
      <c r="EE30" s="49"/>
      <c r="EF30" s="49">
        <v>1</v>
      </c>
      <c r="EG30" s="69">
        <v>1</v>
      </c>
      <c r="EH30" s="49"/>
      <c r="EI30" s="49">
        <v>1</v>
      </c>
      <c r="EJ30" s="172">
        <v>1</v>
      </c>
      <c r="EK30" s="75"/>
      <c r="EL30" s="49"/>
      <c r="EM30" s="158"/>
      <c r="EN30" s="176"/>
      <c r="EO30" s="174"/>
      <c r="EP30" s="377">
        <f t="shared" si="42"/>
        <v>20.94788285343631</v>
      </c>
      <c r="EQ30" s="24">
        <f t="shared" si="43"/>
        <v>21</v>
      </c>
      <c r="ER30" s="428">
        <f t="shared" si="44"/>
        <v>1.617057655305351</v>
      </c>
      <c r="ES30" s="77" t="s">
        <v>116</v>
      </c>
      <c r="EU30" s="54">
        <v>20.94788285343631</v>
      </c>
      <c r="EV30" s="54">
        <v>21</v>
      </c>
      <c r="EW30" s="54">
        <v>1.552704073700215</v>
      </c>
      <c r="EX30" s="54" t="s">
        <v>116</v>
      </c>
    </row>
    <row r="31" spans="1:154" s="54" customFormat="1" ht="18.75">
      <c r="A31" s="55">
        <f t="shared" si="0"/>
        <v>22</v>
      </c>
      <c r="B31" s="56" t="s">
        <v>134</v>
      </c>
      <c r="C31" s="57">
        <v>0</v>
      </c>
      <c r="D31" s="158">
        <v>1</v>
      </c>
      <c r="E31" s="57">
        <v>0</v>
      </c>
      <c r="F31" s="158">
        <v>1</v>
      </c>
      <c r="G31" s="189">
        <v>3046.5816</v>
      </c>
      <c r="H31" s="185">
        <v>4064.37919</v>
      </c>
      <c r="I31" s="58">
        <f t="shared" si="1"/>
        <v>-0.3340785587361258</v>
      </c>
      <c r="J31" s="151">
        <v>0</v>
      </c>
      <c r="K31" s="189">
        <v>4064.37919</v>
      </c>
      <c r="L31" s="185">
        <v>10966.16345</v>
      </c>
      <c r="M31" s="58">
        <f t="shared" si="2"/>
        <v>0.37062909088775253</v>
      </c>
      <c r="N31" s="59">
        <v>0.5</v>
      </c>
      <c r="O31" s="189">
        <v>4064.37919</v>
      </c>
      <c r="P31" s="185">
        <v>4064.37919</v>
      </c>
      <c r="Q31" s="58">
        <f t="shared" si="3"/>
        <v>1</v>
      </c>
      <c r="R31" s="28">
        <v>1</v>
      </c>
      <c r="S31" s="189">
        <v>4064.37919</v>
      </c>
      <c r="T31" s="185">
        <v>2382.42671</v>
      </c>
      <c r="U31" s="61">
        <f t="shared" si="4"/>
        <v>1.7059828841492461</v>
      </c>
      <c r="V31" s="155">
        <v>1</v>
      </c>
      <c r="W31" s="189">
        <v>369.5156</v>
      </c>
      <c r="X31" s="185">
        <v>723.019</v>
      </c>
      <c r="Y31" s="61">
        <f t="shared" si="5"/>
        <v>1.9566670527577186</v>
      </c>
      <c r="Z31" s="155">
        <v>0</v>
      </c>
      <c r="AA31" s="189">
        <v>723.019</v>
      </c>
      <c r="AB31" s="185">
        <v>3564.12725</v>
      </c>
      <c r="AC31" s="61">
        <f t="shared" si="6"/>
        <v>0.20286004098198235</v>
      </c>
      <c r="AD31" s="181">
        <f t="shared" si="7"/>
        <v>0.7971399590180177</v>
      </c>
      <c r="AE31" s="184">
        <v>6901.78426</v>
      </c>
      <c r="AF31" s="185">
        <v>10966.16345</v>
      </c>
      <c r="AG31" s="185">
        <v>172.96</v>
      </c>
      <c r="AH31" s="58">
        <f t="shared" si="8"/>
        <v>0.6394565146457978</v>
      </c>
      <c r="AI31" s="60">
        <v>0.5</v>
      </c>
      <c r="AJ31" s="195">
        <v>-119.9</v>
      </c>
      <c r="AK31" s="196">
        <v>129.1</v>
      </c>
      <c r="AL31" s="196">
        <f t="shared" si="9"/>
        <v>-249</v>
      </c>
      <c r="AM31" s="147">
        <v>1</v>
      </c>
      <c r="AN31" s="66">
        <v>2417.2</v>
      </c>
      <c r="AO31" s="66">
        <v>2763</v>
      </c>
      <c r="AP31" s="58">
        <f t="shared" si="10"/>
        <v>0.8748461816865725</v>
      </c>
      <c r="AQ31" s="391">
        <v>1</v>
      </c>
      <c r="AR31" s="434">
        <f t="shared" si="11"/>
        <v>2.769841765511503</v>
      </c>
      <c r="AS31" s="434">
        <v>10599.56</v>
      </c>
      <c r="AT31" s="66">
        <v>10599.6</v>
      </c>
      <c r="AU31" s="66">
        <v>5685.3</v>
      </c>
      <c r="AV31" s="26">
        <f t="shared" si="12"/>
        <v>0.536371321073705</v>
      </c>
      <c r="AW31" s="35">
        <v>0.8</v>
      </c>
      <c r="AX31" s="66">
        <v>2364.79</v>
      </c>
      <c r="AY31" s="66">
        <f t="shared" si="13"/>
        <v>97.83178884659938</v>
      </c>
      <c r="AZ31" s="66">
        <f t="shared" si="14"/>
        <v>41.59481469755334</v>
      </c>
      <c r="BA31" s="35">
        <v>0</v>
      </c>
      <c r="BB31" s="35">
        <v>1</v>
      </c>
      <c r="BC31" s="392">
        <v>2902</v>
      </c>
      <c r="BD31" s="36">
        <f>AS31*1000/BC31</f>
        <v>3652.50172294969</v>
      </c>
      <c r="BE31" s="58">
        <f>BD31/BD39*100%</f>
        <v>0.9564221796652406</v>
      </c>
      <c r="BF31" s="35">
        <v>0.9</v>
      </c>
      <c r="BG31" s="68">
        <f>BD31*100/BD40</f>
        <v>95.64221796652406</v>
      </c>
      <c r="BH31" s="69">
        <f t="shared" si="16"/>
        <v>165.9804091510839</v>
      </c>
      <c r="BI31" s="69">
        <f t="shared" si="17"/>
        <v>37.85122504622816</v>
      </c>
      <c r="BJ31" s="66">
        <f>4012078.45/1000</f>
        <v>4012.07845</v>
      </c>
      <c r="BK31" s="66">
        <f t="shared" si="18"/>
        <v>1382.5218642315645</v>
      </c>
      <c r="BL31" s="58">
        <f>BK31/BK39*100%</f>
        <v>2.050930075879509</v>
      </c>
      <c r="BM31" s="68">
        <v>1</v>
      </c>
      <c r="BN31" s="73">
        <v>1675</v>
      </c>
      <c r="BO31" s="71">
        <v>146.59</v>
      </c>
      <c r="BP31" s="58">
        <f t="shared" si="45"/>
        <v>0.08047365213906532</v>
      </c>
      <c r="BQ31" s="208">
        <v>1</v>
      </c>
      <c r="BR31" s="38">
        <v>1</v>
      </c>
      <c r="BS31" s="66">
        <v>696.939</v>
      </c>
      <c r="BT31" s="61">
        <f t="shared" si="19"/>
        <v>0.06575144345069625</v>
      </c>
      <c r="BU31" s="383">
        <f t="shared" si="20"/>
        <v>0.1315028869013925</v>
      </c>
      <c r="BV31" s="169">
        <v>0</v>
      </c>
      <c r="BW31" s="166">
        <f t="shared" si="21"/>
        <v>1</v>
      </c>
      <c r="BX31" s="393">
        <f>3+2+1</f>
        <v>6</v>
      </c>
      <c r="BY31" s="166">
        <f t="shared" si="22"/>
        <v>0.5</v>
      </c>
      <c r="BZ31" s="394">
        <v>0</v>
      </c>
      <c r="CA31" s="381">
        <v>1</v>
      </c>
      <c r="CB31" s="394">
        <v>2</v>
      </c>
      <c r="CC31" s="28">
        <f t="shared" si="23"/>
        <v>0.5</v>
      </c>
      <c r="CD31" s="395">
        <v>2</v>
      </c>
      <c r="CE31" s="387">
        <v>0</v>
      </c>
      <c r="CF31" s="73">
        <v>1</v>
      </c>
      <c r="CG31" s="28">
        <f t="shared" si="24"/>
        <v>0</v>
      </c>
      <c r="CH31" s="73"/>
      <c r="CI31" s="48"/>
      <c r="CJ31" s="36">
        <v>1</v>
      </c>
      <c r="CK31" s="28">
        <f t="shared" si="25"/>
        <v>0</v>
      </c>
      <c r="CL31" s="388">
        <f t="shared" si="26"/>
        <v>12</v>
      </c>
      <c r="CM31" s="28">
        <f t="shared" si="27"/>
        <v>0.4</v>
      </c>
      <c r="CN31" s="74"/>
      <c r="CO31" s="48">
        <f t="shared" si="28"/>
        <v>1</v>
      </c>
      <c r="CP31" s="66"/>
      <c r="CQ31" s="66">
        <f t="shared" si="29"/>
        <v>1</v>
      </c>
      <c r="CR31" s="394">
        <v>0</v>
      </c>
      <c r="CS31" s="38">
        <f t="shared" si="30"/>
        <v>1</v>
      </c>
      <c r="CT31" s="394">
        <v>0</v>
      </c>
      <c r="CU31" s="381">
        <f t="shared" si="31"/>
        <v>1</v>
      </c>
      <c r="CV31" s="393">
        <v>2</v>
      </c>
      <c r="CW31" s="165">
        <f t="shared" si="32"/>
        <v>0.6</v>
      </c>
      <c r="CX31" s="393">
        <f>1+1+1+2</f>
        <v>5</v>
      </c>
      <c r="CY31" s="165">
        <f t="shared" si="33"/>
        <v>0.5454545454545454</v>
      </c>
      <c r="CZ31" s="393">
        <v>1</v>
      </c>
      <c r="DA31" s="166">
        <f t="shared" si="34"/>
        <v>0.875</v>
      </c>
      <c r="DB31" s="388">
        <f t="shared" si="35"/>
        <v>8</v>
      </c>
      <c r="DC31" s="165">
        <f t="shared" si="36"/>
        <v>0.7037037037037037</v>
      </c>
      <c r="DD31" s="396">
        <v>0</v>
      </c>
      <c r="DE31" s="69">
        <v>1</v>
      </c>
      <c r="DF31" s="394">
        <v>3</v>
      </c>
      <c r="DG31" s="155">
        <f t="shared" si="37"/>
        <v>0.7857142857142857</v>
      </c>
      <c r="DH31" s="73">
        <v>0</v>
      </c>
      <c r="DI31" s="38">
        <f t="shared" si="38"/>
        <v>1</v>
      </c>
      <c r="DJ31" s="66">
        <v>0</v>
      </c>
      <c r="DK31" s="69">
        <v>1</v>
      </c>
      <c r="DL31" s="394">
        <v>0</v>
      </c>
      <c r="DM31" s="397">
        <v>1</v>
      </c>
      <c r="DN31" s="385">
        <f t="shared" si="39"/>
        <v>3</v>
      </c>
      <c r="DO31" s="390">
        <f t="shared" si="40"/>
        <v>0.9516129032258065</v>
      </c>
      <c r="DP31" s="175">
        <v>319</v>
      </c>
      <c r="DQ31" s="166">
        <f>1-DP31/(1066)*100/100</f>
        <v>0.700750469043152</v>
      </c>
      <c r="DR31" s="66">
        <v>2</v>
      </c>
      <c r="DS31" s="28">
        <f t="shared" si="41"/>
        <v>0.5</v>
      </c>
      <c r="DT31" s="45">
        <v>1</v>
      </c>
      <c r="DU31" s="28">
        <v>1</v>
      </c>
      <c r="DV31" s="75"/>
      <c r="DW31" s="45">
        <v>0</v>
      </c>
      <c r="DX31" s="28">
        <v>0</v>
      </c>
      <c r="DY31" s="46"/>
      <c r="DZ31" s="45">
        <v>0</v>
      </c>
      <c r="EA31" s="28">
        <v>0</v>
      </c>
      <c r="EB31" s="76"/>
      <c r="EC31" s="45">
        <v>1</v>
      </c>
      <c r="ED31" s="69">
        <v>1</v>
      </c>
      <c r="EE31" s="49"/>
      <c r="EF31" s="49">
        <v>1</v>
      </c>
      <c r="EG31" s="69">
        <v>1</v>
      </c>
      <c r="EH31" s="49"/>
      <c r="EI31" s="49">
        <v>1</v>
      </c>
      <c r="EJ31" s="172">
        <v>1</v>
      </c>
      <c r="EK31" s="75"/>
      <c r="EL31" s="49"/>
      <c r="EM31" s="158"/>
      <c r="EN31" s="176"/>
      <c r="EO31" s="174"/>
      <c r="EP31" s="377">
        <f t="shared" si="42"/>
        <v>20.88470992189207</v>
      </c>
      <c r="EQ31" s="24">
        <f t="shared" si="43"/>
        <v>22</v>
      </c>
      <c r="ER31" s="428">
        <f t="shared" si="44"/>
        <v>1.617057655305351</v>
      </c>
      <c r="ES31" s="77" t="s">
        <v>116</v>
      </c>
      <c r="EU31" s="54">
        <v>20.75320703499068</v>
      </c>
      <c r="EV31" s="54">
        <v>22</v>
      </c>
      <c r="EW31" s="54">
        <v>1.552704073700215</v>
      </c>
      <c r="EX31" s="54" t="s">
        <v>116</v>
      </c>
    </row>
    <row r="32" spans="1:154" s="54" customFormat="1" ht="18.75">
      <c r="A32" s="55">
        <f t="shared" si="0"/>
        <v>23</v>
      </c>
      <c r="B32" s="56" t="s">
        <v>125</v>
      </c>
      <c r="C32" s="57">
        <v>0</v>
      </c>
      <c r="D32" s="158">
        <v>1</v>
      </c>
      <c r="E32" s="57">
        <v>0</v>
      </c>
      <c r="F32" s="158">
        <v>1</v>
      </c>
      <c r="G32" s="189">
        <v>6324.1</v>
      </c>
      <c r="H32" s="185">
        <v>2210.23561</v>
      </c>
      <c r="I32" s="58">
        <f t="shared" si="1"/>
        <v>0.6505059043974637</v>
      </c>
      <c r="J32" s="78">
        <v>0</v>
      </c>
      <c r="K32" s="189">
        <v>2210.23561</v>
      </c>
      <c r="L32" s="185">
        <v>9698.91023</v>
      </c>
      <c r="M32" s="58">
        <f t="shared" si="2"/>
        <v>0.22788494352318595</v>
      </c>
      <c r="N32" s="59">
        <v>0.3</v>
      </c>
      <c r="O32" s="189">
        <v>2210.23561</v>
      </c>
      <c r="P32" s="185">
        <v>5264.16345</v>
      </c>
      <c r="Q32" s="58">
        <f t="shared" si="3"/>
        <v>0.41986454846876003</v>
      </c>
      <c r="R32" s="28">
        <f>Q32/95%</f>
        <v>0.4419626825986948</v>
      </c>
      <c r="S32" s="189">
        <v>2210.23561</v>
      </c>
      <c r="T32" s="185">
        <v>1781.52361</v>
      </c>
      <c r="U32" s="61">
        <f t="shared" si="4"/>
        <v>1.2406434568666762</v>
      </c>
      <c r="V32" s="155">
        <v>1</v>
      </c>
      <c r="W32" s="189">
        <v>509.0997</v>
      </c>
      <c r="X32" s="185">
        <v>720.7379</v>
      </c>
      <c r="Y32" s="61">
        <f t="shared" si="5"/>
        <v>1.4157107144239134</v>
      </c>
      <c r="Z32" s="155">
        <v>0</v>
      </c>
      <c r="AA32" s="189">
        <v>720.7379</v>
      </c>
      <c r="AB32" s="185">
        <v>2019.2273</v>
      </c>
      <c r="AC32" s="61">
        <f t="shared" si="6"/>
        <v>0.356937478014486</v>
      </c>
      <c r="AD32" s="181">
        <f t="shared" si="7"/>
        <v>0.643062521985514</v>
      </c>
      <c r="AE32" s="184">
        <v>7488.67462</v>
      </c>
      <c r="AF32" s="185">
        <v>9698.91023</v>
      </c>
      <c r="AG32" s="185">
        <v>173.19</v>
      </c>
      <c r="AH32" s="58">
        <f t="shared" si="8"/>
        <v>0.7861531137997742</v>
      </c>
      <c r="AI32" s="60">
        <v>0.3</v>
      </c>
      <c r="AJ32" s="195">
        <v>335.9</v>
      </c>
      <c r="AK32" s="196">
        <v>209</v>
      </c>
      <c r="AL32" s="196">
        <f t="shared" si="9"/>
        <v>126.89999999999998</v>
      </c>
      <c r="AM32" s="147">
        <v>0</v>
      </c>
      <c r="AN32" s="66">
        <v>2380.6</v>
      </c>
      <c r="AO32" s="66">
        <v>2942.3</v>
      </c>
      <c r="AP32" s="58">
        <f t="shared" si="10"/>
        <v>0.8090949257383678</v>
      </c>
      <c r="AQ32" s="391">
        <v>1</v>
      </c>
      <c r="AR32" s="434">
        <f t="shared" si="11"/>
        <v>2.6142544049332224</v>
      </c>
      <c r="AS32" s="434">
        <v>10004.19</v>
      </c>
      <c r="AT32" s="66">
        <v>10004.2</v>
      </c>
      <c r="AU32" s="66">
        <v>5229.7</v>
      </c>
      <c r="AV32" s="26">
        <f t="shared" si="12"/>
        <v>0.5227509673446825</v>
      </c>
      <c r="AW32" s="35">
        <v>0.8</v>
      </c>
      <c r="AX32" s="66">
        <v>2224.99</v>
      </c>
      <c r="AY32" s="66">
        <f t="shared" si="13"/>
        <v>93.46341258506258</v>
      </c>
      <c r="AZ32" s="66">
        <f t="shared" si="14"/>
        <v>42.545270283190234</v>
      </c>
      <c r="BA32" s="35">
        <v>0</v>
      </c>
      <c r="BB32" s="35">
        <v>1</v>
      </c>
      <c r="BC32" s="392">
        <v>3282</v>
      </c>
      <c r="BD32" s="36">
        <f>AS32*1000/BC32</f>
        <v>3048.199268738574</v>
      </c>
      <c r="BE32" s="58">
        <f>BD32/BD38*100%</f>
        <v>0.7981831658950038</v>
      </c>
      <c r="BF32" s="35">
        <v>0.7</v>
      </c>
      <c r="BG32" s="68">
        <f>BD32*100/BD46</f>
        <v>79.81831658950037</v>
      </c>
      <c r="BH32" s="69">
        <f t="shared" si="16"/>
        <v>149.1689187599765</v>
      </c>
      <c r="BI32" s="69">
        <f t="shared" si="17"/>
        <v>35.496244377361506</v>
      </c>
      <c r="BJ32" s="66">
        <f>3551115.28/1000</f>
        <v>3551.11528</v>
      </c>
      <c r="BK32" s="66">
        <f t="shared" si="18"/>
        <v>1081.9973430834857</v>
      </c>
      <c r="BL32" s="58">
        <f>BK32/BK38*100%</f>
        <v>1.605110884944351</v>
      </c>
      <c r="BM32" s="68">
        <v>1</v>
      </c>
      <c r="BN32" s="73">
        <v>1251.7</v>
      </c>
      <c r="BO32" s="71">
        <v>88.77</v>
      </c>
      <c r="BP32" s="58">
        <f t="shared" si="45"/>
        <v>0.06622304117212618</v>
      </c>
      <c r="BQ32" s="208">
        <v>1</v>
      </c>
      <c r="BR32" s="38">
        <v>1</v>
      </c>
      <c r="BS32" s="66">
        <v>322.472</v>
      </c>
      <c r="BT32" s="61">
        <f t="shared" si="19"/>
        <v>0.03223366186201795</v>
      </c>
      <c r="BU32" s="383">
        <f t="shared" si="20"/>
        <v>0.0644673237240359</v>
      </c>
      <c r="BV32" s="169">
        <v>0</v>
      </c>
      <c r="BW32" s="166">
        <f t="shared" si="21"/>
        <v>1</v>
      </c>
      <c r="BX32" s="393">
        <f>2+1+1</f>
        <v>4</v>
      </c>
      <c r="BY32" s="166">
        <f t="shared" si="22"/>
        <v>0.6666666666666667</v>
      </c>
      <c r="BZ32" s="394">
        <v>0</v>
      </c>
      <c r="CA32" s="381">
        <v>1</v>
      </c>
      <c r="CB32" s="394">
        <v>0</v>
      </c>
      <c r="CC32" s="28">
        <f t="shared" si="23"/>
        <v>1</v>
      </c>
      <c r="CD32" s="395">
        <v>1</v>
      </c>
      <c r="CE32" s="387">
        <v>0.5</v>
      </c>
      <c r="CF32" s="73"/>
      <c r="CG32" s="28">
        <f t="shared" si="24"/>
        <v>1</v>
      </c>
      <c r="CH32" s="73"/>
      <c r="CI32" s="48"/>
      <c r="CJ32" s="36">
        <v>1</v>
      </c>
      <c r="CK32" s="28">
        <f t="shared" si="25"/>
        <v>0</v>
      </c>
      <c r="CL32" s="388">
        <f t="shared" si="26"/>
        <v>6</v>
      </c>
      <c r="CM32" s="28">
        <f t="shared" si="27"/>
        <v>0.7</v>
      </c>
      <c r="CN32" s="74"/>
      <c r="CO32" s="48">
        <f t="shared" si="28"/>
        <v>1</v>
      </c>
      <c r="CP32" s="66"/>
      <c r="CQ32" s="66">
        <f t="shared" si="29"/>
        <v>1</v>
      </c>
      <c r="CR32" s="394">
        <v>0</v>
      </c>
      <c r="CS32" s="38">
        <f t="shared" si="30"/>
        <v>1</v>
      </c>
      <c r="CT32" s="394">
        <v>1</v>
      </c>
      <c r="CU32" s="381">
        <f t="shared" si="31"/>
        <v>0.5</v>
      </c>
      <c r="CV32" s="393">
        <v>2</v>
      </c>
      <c r="CW32" s="165">
        <f t="shared" si="32"/>
        <v>0.6</v>
      </c>
      <c r="CX32" s="393">
        <f>2+3+1+1</f>
        <v>7</v>
      </c>
      <c r="CY32" s="165">
        <f t="shared" si="33"/>
        <v>0.36363636363636365</v>
      </c>
      <c r="CZ32" s="393">
        <v>0</v>
      </c>
      <c r="DA32" s="166">
        <f t="shared" si="34"/>
        <v>1</v>
      </c>
      <c r="DB32" s="388">
        <f t="shared" si="35"/>
        <v>10</v>
      </c>
      <c r="DC32" s="165">
        <f t="shared" si="36"/>
        <v>0.6296296296296297</v>
      </c>
      <c r="DD32" s="396">
        <v>1</v>
      </c>
      <c r="DE32" s="69">
        <v>0.5</v>
      </c>
      <c r="DF32" s="394">
        <v>7</v>
      </c>
      <c r="DG32" s="155">
        <f t="shared" si="37"/>
        <v>0.5</v>
      </c>
      <c r="DH32" s="73">
        <v>1</v>
      </c>
      <c r="DI32" s="38">
        <f t="shared" si="38"/>
        <v>0.9777777777777777</v>
      </c>
      <c r="DJ32" s="66">
        <v>1</v>
      </c>
      <c r="DK32" s="69">
        <v>0</v>
      </c>
      <c r="DL32" s="394">
        <v>1</v>
      </c>
      <c r="DM32" s="397">
        <v>0.8</v>
      </c>
      <c r="DN32" s="385">
        <f t="shared" si="39"/>
        <v>11</v>
      </c>
      <c r="DO32" s="390">
        <f t="shared" si="40"/>
        <v>0.8225806451612903</v>
      </c>
      <c r="DP32" s="175">
        <v>401</v>
      </c>
      <c r="DQ32" s="166">
        <f>1-DP32/(1285)*100/100</f>
        <v>0.6879377431906615</v>
      </c>
      <c r="DR32" s="66">
        <v>1</v>
      </c>
      <c r="DS32" s="28">
        <f t="shared" si="41"/>
        <v>0.75</v>
      </c>
      <c r="DT32" s="45">
        <v>1</v>
      </c>
      <c r="DU32" s="28">
        <v>1</v>
      </c>
      <c r="DV32" s="75"/>
      <c r="DW32" s="45">
        <v>1</v>
      </c>
      <c r="DX32" s="28">
        <v>1</v>
      </c>
      <c r="DY32" s="46"/>
      <c r="DZ32" s="45">
        <v>1</v>
      </c>
      <c r="EA32" s="28">
        <v>1</v>
      </c>
      <c r="EB32" s="76"/>
      <c r="EC32" s="45">
        <v>1</v>
      </c>
      <c r="ED32" s="69">
        <v>1</v>
      </c>
      <c r="EE32" s="49"/>
      <c r="EF32" s="49">
        <v>1</v>
      </c>
      <c r="EG32" s="69">
        <v>1</v>
      </c>
      <c r="EH32" s="49"/>
      <c r="EI32" s="49">
        <v>0</v>
      </c>
      <c r="EJ32" s="172">
        <v>0</v>
      </c>
      <c r="EK32" s="75"/>
      <c r="EL32" s="49"/>
      <c r="EM32" s="158"/>
      <c r="EN32" s="176"/>
      <c r="EO32" s="174"/>
      <c r="EP32" s="377">
        <f t="shared" si="42"/>
        <v>19.83964054628982</v>
      </c>
      <c r="EQ32" s="24">
        <f t="shared" si="43"/>
        <v>23</v>
      </c>
      <c r="ER32" s="428">
        <f t="shared" si="44"/>
        <v>1.617057655305351</v>
      </c>
      <c r="ES32" s="77" t="s">
        <v>116</v>
      </c>
      <c r="ET32" s="80"/>
      <c r="EU32" s="54">
        <v>19.83964054628982</v>
      </c>
      <c r="EV32" s="54">
        <v>23</v>
      </c>
      <c r="EW32" s="54">
        <v>1.552704073700215</v>
      </c>
      <c r="EX32" s="54" t="s">
        <v>116</v>
      </c>
    </row>
    <row r="33" spans="1:154" s="409" customFormat="1" ht="21.75" customHeight="1" thickBot="1">
      <c r="A33" s="55">
        <f t="shared" si="0"/>
        <v>24</v>
      </c>
      <c r="B33" s="82" t="s">
        <v>135</v>
      </c>
      <c r="C33" s="83">
        <v>0</v>
      </c>
      <c r="D33" s="160">
        <v>1</v>
      </c>
      <c r="E33" s="83">
        <v>0</v>
      </c>
      <c r="F33" s="160">
        <v>1</v>
      </c>
      <c r="G33" s="190">
        <v>2926.4</v>
      </c>
      <c r="H33" s="187">
        <v>2326.16043</v>
      </c>
      <c r="I33" s="84">
        <f t="shared" si="1"/>
        <v>0.20511193616730458</v>
      </c>
      <c r="J33" s="152">
        <v>0</v>
      </c>
      <c r="K33" s="190">
        <v>2326.16043</v>
      </c>
      <c r="L33" s="187">
        <v>6648.10646</v>
      </c>
      <c r="M33" s="84">
        <f t="shared" si="2"/>
        <v>0.3498981919131301</v>
      </c>
      <c r="N33" s="85">
        <v>0.5</v>
      </c>
      <c r="O33" s="190">
        <v>2326.16043</v>
      </c>
      <c r="P33" s="187">
        <v>2326.16043</v>
      </c>
      <c r="Q33" s="84">
        <f t="shared" si="3"/>
        <v>1</v>
      </c>
      <c r="R33" s="28">
        <v>1</v>
      </c>
      <c r="S33" s="190">
        <v>2326.16043</v>
      </c>
      <c r="T33" s="187">
        <v>1790.64052</v>
      </c>
      <c r="U33" s="86">
        <f t="shared" si="4"/>
        <v>1.2990661185305914</v>
      </c>
      <c r="V33" s="156">
        <v>1</v>
      </c>
      <c r="W33" s="190">
        <v>380.0074</v>
      </c>
      <c r="X33" s="187">
        <v>544.3838</v>
      </c>
      <c r="Y33" s="86">
        <f t="shared" si="5"/>
        <v>1.4325610501269184</v>
      </c>
      <c r="Z33" s="156">
        <v>0</v>
      </c>
      <c r="AA33" s="190">
        <v>544.3838</v>
      </c>
      <c r="AB33" s="187">
        <v>2193.4148</v>
      </c>
      <c r="AC33" s="86">
        <f t="shared" si="6"/>
        <v>0.24819008242307836</v>
      </c>
      <c r="AD33" s="181">
        <f t="shared" si="7"/>
        <v>0.7518099175769216</v>
      </c>
      <c r="AE33" s="186">
        <v>4321.94603</v>
      </c>
      <c r="AF33" s="270">
        <v>6648.10646</v>
      </c>
      <c r="AG33" s="187">
        <v>102.58</v>
      </c>
      <c r="AH33" s="84">
        <f t="shared" si="8"/>
        <v>0.6602900555687311</v>
      </c>
      <c r="AI33" s="87">
        <v>0.5</v>
      </c>
      <c r="AJ33" s="198">
        <v>649.1</v>
      </c>
      <c r="AK33" s="199">
        <v>500.2</v>
      </c>
      <c r="AL33" s="199">
        <f t="shared" si="9"/>
        <v>148.90000000000003</v>
      </c>
      <c r="AM33" s="148">
        <v>0</v>
      </c>
      <c r="AN33" s="92">
        <v>1525.9</v>
      </c>
      <c r="AO33" s="92">
        <v>2211.3</v>
      </c>
      <c r="AP33" s="84">
        <f t="shared" si="10"/>
        <v>0.6900465789354678</v>
      </c>
      <c r="AQ33" s="398">
        <v>1</v>
      </c>
      <c r="AR33" s="434">
        <f t="shared" si="11"/>
        <v>1.8486778340796943</v>
      </c>
      <c r="AS33" s="435">
        <v>7074.51</v>
      </c>
      <c r="AT33" s="92">
        <v>7074.5</v>
      </c>
      <c r="AU33" s="92">
        <v>3980.6</v>
      </c>
      <c r="AV33" s="26">
        <f t="shared" si="12"/>
        <v>0.5626679444936822</v>
      </c>
      <c r="AW33" s="35">
        <v>0.8</v>
      </c>
      <c r="AX33" s="92">
        <v>1435.47</v>
      </c>
      <c r="AY33" s="92">
        <f t="shared" si="13"/>
        <v>94.07366144570418</v>
      </c>
      <c r="AZ33" s="92">
        <f t="shared" si="14"/>
        <v>36.06164899763855</v>
      </c>
      <c r="BA33" s="399">
        <v>0</v>
      </c>
      <c r="BB33" s="399">
        <v>1</v>
      </c>
      <c r="BC33" s="400">
        <v>1856</v>
      </c>
      <c r="BD33" s="36">
        <f>AS33*1000/BC33</f>
        <v>3811.697198275862</v>
      </c>
      <c r="BE33" s="84">
        <f>BD33/BD47*100%</f>
        <v>0.9981081513781686</v>
      </c>
      <c r="BF33" s="399">
        <v>0.9</v>
      </c>
      <c r="BG33" s="94">
        <f>BD33*100/BD59</f>
        <v>99.81081513781686</v>
      </c>
      <c r="BH33" s="95">
        <f t="shared" si="16"/>
        <v>127.18876138672259</v>
      </c>
      <c r="BI33" s="95">
        <f t="shared" si="17"/>
        <v>27.433363629938512</v>
      </c>
      <c r="BJ33" s="92">
        <f>1940773.31/1000</f>
        <v>1940.77331</v>
      </c>
      <c r="BK33" s="66">
        <f t="shared" si="18"/>
        <v>1045.6752747844828</v>
      </c>
      <c r="BL33" s="84">
        <f>BK33/BK47*100%</f>
        <v>1.5512281766705256</v>
      </c>
      <c r="BM33" s="94">
        <v>1</v>
      </c>
      <c r="BN33" s="99">
        <v>720.4</v>
      </c>
      <c r="BO33" s="97">
        <v>63.9</v>
      </c>
      <c r="BP33" s="84">
        <f t="shared" si="45"/>
        <v>0.0814739257937014</v>
      </c>
      <c r="BQ33" s="208">
        <v>1</v>
      </c>
      <c r="BR33" s="401">
        <v>1</v>
      </c>
      <c r="BS33" s="92"/>
      <c r="BT33" s="86">
        <f t="shared" si="19"/>
        <v>0</v>
      </c>
      <c r="BU33" s="402">
        <f t="shared" si="20"/>
        <v>0</v>
      </c>
      <c r="BV33" s="170">
        <v>3.032018945521797</v>
      </c>
      <c r="BW33" s="167">
        <f t="shared" si="21"/>
        <v>0.969679810544782</v>
      </c>
      <c r="BX33" s="403">
        <f>4+2+3</f>
        <v>9</v>
      </c>
      <c r="BY33" s="167">
        <f t="shared" si="22"/>
        <v>0.25</v>
      </c>
      <c r="BZ33" s="404">
        <v>0</v>
      </c>
      <c r="CA33" s="381">
        <v>1</v>
      </c>
      <c r="CB33" s="404">
        <v>2</v>
      </c>
      <c r="CC33" s="161">
        <f t="shared" si="23"/>
        <v>0.5</v>
      </c>
      <c r="CD33" s="405">
        <v>1</v>
      </c>
      <c r="CE33" s="387">
        <v>0.5</v>
      </c>
      <c r="CF33" s="99"/>
      <c r="CG33" s="28">
        <f t="shared" si="24"/>
        <v>1</v>
      </c>
      <c r="CH33" s="99"/>
      <c r="CI33" s="100"/>
      <c r="CJ33" s="406"/>
      <c r="CK33" s="28">
        <f t="shared" si="25"/>
        <v>1</v>
      </c>
      <c r="CL33" s="388">
        <f t="shared" si="26"/>
        <v>12</v>
      </c>
      <c r="CM33" s="28">
        <f t="shared" si="27"/>
        <v>0.4</v>
      </c>
      <c r="CN33" s="101"/>
      <c r="CO33" s="100">
        <f t="shared" si="28"/>
        <v>1</v>
      </c>
      <c r="CP33" s="92"/>
      <c r="CQ33" s="92">
        <f t="shared" si="29"/>
        <v>1</v>
      </c>
      <c r="CR33" s="404">
        <v>0</v>
      </c>
      <c r="CS33" s="38">
        <f t="shared" si="30"/>
        <v>1</v>
      </c>
      <c r="CT33" s="404">
        <v>0</v>
      </c>
      <c r="CU33" s="381">
        <f t="shared" si="31"/>
        <v>1</v>
      </c>
      <c r="CV33" s="403">
        <v>1</v>
      </c>
      <c r="CW33" s="165">
        <v>0.9</v>
      </c>
      <c r="CX33" s="403">
        <f>3+3+2+3</f>
        <v>11</v>
      </c>
      <c r="CY33" s="165">
        <f t="shared" si="33"/>
        <v>0</v>
      </c>
      <c r="CZ33" s="403">
        <v>5</v>
      </c>
      <c r="DA33" s="167">
        <f t="shared" si="34"/>
        <v>0.375</v>
      </c>
      <c r="DB33" s="388">
        <f t="shared" si="35"/>
        <v>17</v>
      </c>
      <c r="DC33" s="165">
        <v>0.5</v>
      </c>
      <c r="DD33" s="407">
        <v>2</v>
      </c>
      <c r="DE33" s="95">
        <v>0</v>
      </c>
      <c r="DF33" s="404">
        <v>13</v>
      </c>
      <c r="DG33" s="155">
        <f t="shared" si="37"/>
        <v>0.0714285714285714</v>
      </c>
      <c r="DH33" s="99">
        <v>4</v>
      </c>
      <c r="DI33" s="38">
        <f t="shared" si="38"/>
        <v>0.9111111111111111</v>
      </c>
      <c r="DJ33" s="92">
        <v>1</v>
      </c>
      <c r="DK33" s="95">
        <v>0</v>
      </c>
      <c r="DL33" s="404">
        <v>1</v>
      </c>
      <c r="DM33" s="408">
        <v>0.8</v>
      </c>
      <c r="DN33" s="385">
        <v>21</v>
      </c>
      <c r="DO33" s="390">
        <f t="shared" si="40"/>
        <v>0.6612903225806452</v>
      </c>
      <c r="DP33" s="177">
        <v>400</v>
      </c>
      <c r="DQ33" s="167">
        <f>1-DP33/(1002)*100/100</f>
        <v>0.6007984031936127</v>
      </c>
      <c r="DR33" s="92">
        <v>4</v>
      </c>
      <c r="DS33" s="161">
        <f t="shared" si="41"/>
        <v>0</v>
      </c>
      <c r="DT33" s="102">
        <v>1</v>
      </c>
      <c r="DU33" s="161">
        <v>1</v>
      </c>
      <c r="DV33" s="103"/>
      <c r="DW33" s="102">
        <v>1</v>
      </c>
      <c r="DX33" s="161">
        <v>1</v>
      </c>
      <c r="DY33" s="104"/>
      <c r="DZ33" s="102">
        <v>1</v>
      </c>
      <c r="EA33" s="161">
        <v>1</v>
      </c>
      <c r="EB33" s="105"/>
      <c r="EC33" s="102">
        <v>1</v>
      </c>
      <c r="ED33" s="95">
        <v>1</v>
      </c>
      <c r="EE33" s="106"/>
      <c r="EF33" s="106">
        <v>1</v>
      </c>
      <c r="EG33" s="95">
        <v>1</v>
      </c>
      <c r="EH33" s="106"/>
      <c r="EI33" s="106">
        <v>0</v>
      </c>
      <c r="EJ33" s="178">
        <v>0</v>
      </c>
      <c r="EK33" s="103"/>
      <c r="EL33" s="106"/>
      <c r="EM33" s="160"/>
      <c r="EN33" s="179"/>
      <c r="EO33" s="180"/>
      <c r="EP33" s="377">
        <f t="shared" si="42"/>
        <v>19.583578453895964</v>
      </c>
      <c r="EQ33" s="24">
        <f t="shared" si="43"/>
        <v>24</v>
      </c>
      <c r="ER33" s="428">
        <f t="shared" si="44"/>
        <v>1.617057655305351</v>
      </c>
      <c r="ES33" s="77" t="s">
        <v>116</v>
      </c>
      <c r="EU33" s="409">
        <v>19.740985861303372</v>
      </c>
      <c r="EV33" s="409">
        <v>24</v>
      </c>
      <c r="EW33" s="409">
        <v>1.552704073700215</v>
      </c>
      <c r="EX33" s="409" t="s">
        <v>116</v>
      </c>
    </row>
    <row r="34" spans="1:154" s="54" customFormat="1" ht="18" customHeight="1" thickBot="1">
      <c r="A34" s="410"/>
      <c r="B34" s="111" t="s">
        <v>105</v>
      </c>
      <c r="C34" s="112">
        <f>SUM(C1:C13)</f>
        <v>0</v>
      </c>
      <c r="D34" s="113">
        <f>SUM(D10:D33)/24</f>
        <v>1</v>
      </c>
      <c r="E34" s="112">
        <f>SUM(E1:E13)</f>
        <v>0</v>
      </c>
      <c r="F34" s="113">
        <f>SUM(F10:F33)/24</f>
        <v>1</v>
      </c>
      <c r="G34" s="191">
        <f>SUM(G10:G33)</f>
        <v>169941.93998999998</v>
      </c>
      <c r="H34" s="192">
        <f>SUM(H10:H33)</f>
        <v>198684.91324000002</v>
      </c>
      <c r="I34" s="116">
        <f t="shared" si="1"/>
        <v>-0.16913407750724385</v>
      </c>
      <c r="J34" s="113">
        <f>SUM(J10:J33)/24</f>
        <v>0.19132179796226853</v>
      </c>
      <c r="K34" s="191">
        <f>SUM(K10:K33)</f>
        <v>198684.91324000002</v>
      </c>
      <c r="L34" s="192">
        <f>SUM(L10:L33)</f>
        <v>373137.38125000003</v>
      </c>
      <c r="M34" s="116">
        <f t="shared" si="2"/>
        <v>0.5324712109368699</v>
      </c>
      <c r="N34" s="113">
        <f>SUM(N10:N33)/24</f>
        <v>0.6333333333333334</v>
      </c>
      <c r="O34" s="191">
        <f>SUM(O10:O33)</f>
        <v>198684.91324000002</v>
      </c>
      <c r="P34" s="192">
        <f>SUM(P10:P33)</f>
        <v>192867.85681000003</v>
      </c>
      <c r="Q34" s="116">
        <f t="shared" si="3"/>
        <v>1.0301608392720958</v>
      </c>
      <c r="R34" s="113">
        <f>SUM(R10:R33)/24</f>
        <v>0.978548059931489</v>
      </c>
      <c r="S34" s="191">
        <f>SUM(S10:S33)</f>
        <v>198684.91324000002</v>
      </c>
      <c r="T34" s="192">
        <f>SUM(T10:T33)</f>
        <v>157817.09527</v>
      </c>
      <c r="U34" s="116">
        <f t="shared" si="4"/>
        <v>1.2589568506509494</v>
      </c>
      <c r="V34" s="113">
        <f>SUM(V10:V33)/24</f>
        <v>0.9166666666666666</v>
      </c>
      <c r="W34" s="191">
        <f>SUM(W10:W33)</f>
        <v>30739.062899999994</v>
      </c>
      <c r="X34" s="192">
        <f>SUM(X10:X33)</f>
        <v>49560.555700000004</v>
      </c>
      <c r="Y34" s="117">
        <f t="shared" si="5"/>
        <v>1.6122988479261682</v>
      </c>
      <c r="Z34" s="113">
        <f>SUM(Z10:Z33)/24</f>
        <v>0.054166666666666675</v>
      </c>
      <c r="AA34" s="191">
        <f>SUM(AA10:AA33)</f>
        <v>49560.555700000004</v>
      </c>
      <c r="AB34" s="192">
        <f>SUM(AB10:AB33)</f>
        <v>166143.71477</v>
      </c>
      <c r="AC34" s="118">
        <f t="shared" si="6"/>
        <v>0.2982993113438498</v>
      </c>
      <c r="AD34" s="113">
        <f>SUM(AD10:AD33)/24</f>
        <v>0.7149501009900274</v>
      </c>
      <c r="AE34" s="114">
        <f>SUM(AE10:AE33)</f>
        <v>174452.46801</v>
      </c>
      <c r="AF34" s="115">
        <f>SUM(AF10:AF33)</f>
        <v>373137.38125000003</v>
      </c>
      <c r="AG34" s="115">
        <f>SUM(AG10:AG33)</f>
        <v>5200.76</v>
      </c>
      <c r="AH34" s="119">
        <f t="shared" si="8"/>
        <v>0.47413727782064313</v>
      </c>
      <c r="AI34" s="113">
        <f>SUM(AI10:AI33)/24</f>
        <v>0.6333333333333334</v>
      </c>
      <c r="AJ34" s="200">
        <f>SUM(AJ10:AJ33)</f>
        <v>31872</v>
      </c>
      <c r="AK34" s="201">
        <f>SUM(AK10:AK33)</f>
        <v>-3009.299999999998</v>
      </c>
      <c r="AL34" s="202">
        <f t="shared" si="9"/>
        <v>34881.299999999996</v>
      </c>
      <c r="AM34" s="113">
        <f>SUM(AM10:AM33)/24</f>
        <v>0.5</v>
      </c>
      <c r="AN34" s="120">
        <f>SUM(AN10:AN33)</f>
        <v>58951.69999999999</v>
      </c>
      <c r="AO34" s="120">
        <f>SUM(AO10:AO33)</f>
        <v>70885.99999999999</v>
      </c>
      <c r="AP34" s="125">
        <f t="shared" si="10"/>
        <v>0.8316409446152978</v>
      </c>
      <c r="AQ34" s="126">
        <v>1</v>
      </c>
      <c r="AR34" s="434">
        <f t="shared" si="11"/>
        <v>100</v>
      </c>
      <c r="AS34" s="436">
        <f>SUM(AS10:AS33)</f>
        <v>382678.87</v>
      </c>
      <c r="AT34" s="120">
        <v>382678.9</v>
      </c>
      <c r="AU34" s="120">
        <f>SUM(AU10:AU33)</f>
        <v>133791.69999999998</v>
      </c>
      <c r="AV34" s="125">
        <f t="shared" si="12"/>
        <v>0.3496187286222518</v>
      </c>
      <c r="AW34" s="126">
        <v>1</v>
      </c>
      <c r="AX34" s="120">
        <f>SUM(AX10:AX33)</f>
        <v>56525.35</v>
      </c>
      <c r="AY34" s="127">
        <f t="shared" si="13"/>
        <v>95.88417297550369</v>
      </c>
      <c r="AZ34" s="127">
        <f t="shared" si="14"/>
        <v>42.24877178479682</v>
      </c>
      <c r="BA34" s="126">
        <f>SUM(BA1:BA12)/24</f>
        <v>0</v>
      </c>
      <c r="BB34" s="126">
        <v>1</v>
      </c>
      <c r="BC34" s="120">
        <f>SUM(BC10:BC33)</f>
        <v>100206</v>
      </c>
      <c r="BD34" s="120">
        <f>AT34*1000/BC34</f>
        <v>3818.9220206374866</v>
      </c>
      <c r="BE34" s="125">
        <f>BD34/BD40*100%</f>
        <v>1</v>
      </c>
      <c r="BF34" s="126">
        <v>1</v>
      </c>
      <c r="BG34" s="128">
        <f>BD34*100/BD40</f>
        <v>100</v>
      </c>
      <c r="BH34" s="129">
        <f t="shared" si="16"/>
        <v>114.58256696583818</v>
      </c>
      <c r="BI34" s="129">
        <f t="shared" si="17"/>
        <v>17.651449068657826</v>
      </c>
      <c r="BJ34" s="120">
        <f>SUM(BJ10:BJ33)</f>
        <v>67548.37113000001</v>
      </c>
      <c r="BK34" s="130">
        <f t="shared" si="18"/>
        <v>674.0950754445843</v>
      </c>
      <c r="BL34" s="125">
        <f>BK34/BK40*100%</f>
        <v>1</v>
      </c>
      <c r="BM34" s="126">
        <f>SUM(BM10:BM33)/24</f>
        <v>0.4583333333333333</v>
      </c>
      <c r="BN34" s="120">
        <f>SUM(BN10:BN33)</f>
        <v>15878.800000000001</v>
      </c>
      <c r="BO34" s="120">
        <f>SUM(BO10:BO33)</f>
        <v>4157.8</v>
      </c>
      <c r="BP34" s="131">
        <f t="shared" si="45"/>
        <v>0.2075102562310971</v>
      </c>
      <c r="BQ34" s="207">
        <v>1</v>
      </c>
      <c r="BR34" s="126">
        <f>SUM(BR10:BR33)/24</f>
        <v>1</v>
      </c>
      <c r="BS34" s="201">
        <f>SUM(BS10:BS33)</f>
        <v>84038.49085000002</v>
      </c>
      <c r="BT34" s="411">
        <f t="shared" si="19"/>
        <v>0.21960576046915575</v>
      </c>
      <c r="BU34" s="412">
        <f t="shared" si="20"/>
        <v>0.4392115209383115</v>
      </c>
      <c r="BV34" s="164">
        <v>2.945818984580009</v>
      </c>
      <c r="BW34" s="413">
        <f t="shared" si="21"/>
        <v>0.9705418101541999</v>
      </c>
      <c r="BX34" s="414">
        <f>SUM(BX10:BX33)</f>
        <v>146</v>
      </c>
      <c r="BY34" s="415">
        <f>SUM(BY10:BY33)/24</f>
        <v>0.4930555555555555</v>
      </c>
      <c r="BZ34" s="149">
        <f>SUM(BZ10:BZ33)</f>
        <v>11</v>
      </c>
      <c r="CA34" s="413">
        <f>SUM(CA10:CA33)/24</f>
        <v>0.625</v>
      </c>
      <c r="CB34" s="149">
        <f>SUM(CB10:CB33)</f>
        <v>31</v>
      </c>
      <c r="CC34" s="413">
        <f>SUM(CC10:CC33)/24</f>
        <v>0.6770833333333334</v>
      </c>
      <c r="CD34" s="149">
        <f>SUM(CD10:CD33)</f>
        <v>17</v>
      </c>
      <c r="CE34" s="413">
        <f>SUM(CE10:CE33)/24</f>
        <v>0.625</v>
      </c>
      <c r="CF34" s="149">
        <f>SUM(CF10:CF33)</f>
        <v>7</v>
      </c>
      <c r="CG34" s="413">
        <f>SUM(CG10:CG33)/24</f>
        <v>0.7083333333333334</v>
      </c>
      <c r="CH34" s="149">
        <f>SUM(CH10:CH33)</f>
        <v>0</v>
      </c>
      <c r="CI34" s="413">
        <f>SUM(CI10:CI33)/24</f>
        <v>0</v>
      </c>
      <c r="CJ34" s="149">
        <f>SUM(CJ10:CJ33)</f>
        <v>10</v>
      </c>
      <c r="CK34" s="413">
        <f>SUM(CK10:CK33)/24</f>
        <v>0.5833333333333334</v>
      </c>
      <c r="CL34" s="127">
        <f>SUM(CL10:CL33)</f>
        <v>222</v>
      </c>
      <c r="CM34" s="413">
        <f>SUM(CM10:CM33)/24</f>
        <v>0.5375000000000001</v>
      </c>
      <c r="CN34" s="133">
        <f>SUM(CN1:CN12)</f>
        <v>0</v>
      </c>
      <c r="CO34" s="126">
        <f>SUM(CO1:CO12)/24</f>
        <v>0.125</v>
      </c>
      <c r="CP34" s="149">
        <f>SUM(CP10:CP33)</f>
        <v>0</v>
      </c>
      <c r="CQ34" s="149">
        <f>SUM(CQ10:CQ33)/24</f>
        <v>1</v>
      </c>
      <c r="CR34" s="149">
        <f>SUM(CR10:CR33)</f>
        <v>14</v>
      </c>
      <c r="CS34" s="416">
        <f>SUM(CS10:CS33)/24</f>
        <v>0.8055555555555557</v>
      </c>
      <c r="CT34" s="417">
        <f>SUM(CT10:CT33)</f>
        <v>10</v>
      </c>
      <c r="CU34" s="418">
        <f>SUM(CU10:CU33)/24</f>
        <v>0.7916666666666666</v>
      </c>
      <c r="CV34" s="164">
        <f>SUM(CV10:CV33)</f>
        <v>44</v>
      </c>
      <c r="CW34" s="413">
        <f>SUM(CW10:CW33)/24</f>
        <v>0.6375</v>
      </c>
      <c r="CX34" s="164">
        <f>SUM(CX10:CX33)</f>
        <v>187</v>
      </c>
      <c r="CY34" s="413">
        <f>SUM(CY10:CY33)/24</f>
        <v>0.2916666666666666</v>
      </c>
      <c r="CZ34" s="414">
        <f>SUM(CZ10:CZ33)</f>
        <v>59</v>
      </c>
      <c r="DA34" s="413">
        <f>SUM(DA10:DA33)/24</f>
        <v>0.6927083333333334</v>
      </c>
      <c r="DB34" s="137">
        <f>SUM(DB10:DB33)</f>
        <v>314</v>
      </c>
      <c r="DC34" s="413">
        <f>SUM(DC10:DC33)/24</f>
        <v>0.5208333333333334</v>
      </c>
      <c r="DD34" s="112">
        <f>SUM(DD10:DD33)</f>
        <v>10</v>
      </c>
      <c r="DE34" s="162">
        <f>SUM(DE10:DE33)/24</f>
        <v>0.7291666666666666</v>
      </c>
      <c r="DF34" s="127">
        <f>SUM(DF10:DF33)</f>
        <v>130</v>
      </c>
      <c r="DG34" s="162">
        <f>SUM(DG10:DG33)/24</f>
        <v>0.613095238095238</v>
      </c>
      <c r="DH34" s="127">
        <f>SUM(DH10:DH33)</f>
        <v>242</v>
      </c>
      <c r="DI34" s="162">
        <f>SUM(DI10:DI33)/24</f>
        <v>0.775925925925926</v>
      </c>
      <c r="DJ34" s="127">
        <f>SUM(DJ10:DJ33)</f>
        <v>18</v>
      </c>
      <c r="DK34" s="162">
        <f>SUM(DK10:DK33)/24</f>
        <v>0.16666666666666666</v>
      </c>
      <c r="DL34" s="127">
        <f>SUM(DL10:DL33)</f>
        <v>50</v>
      </c>
      <c r="DM34" s="162">
        <f>SUM(DM10:DM33)/24</f>
        <v>0.6355555555555558</v>
      </c>
      <c r="DN34" s="419">
        <f>SUM(DN10:DN33)</f>
        <v>450</v>
      </c>
      <c r="DO34" s="134">
        <f>SUM(DO10:DO33)/24</f>
        <v>0.6975806451612904</v>
      </c>
      <c r="DP34" s="127">
        <f>SUM(DP10:DP33)</f>
        <v>8325</v>
      </c>
      <c r="DQ34" s="113">
        <f>SUM(DQ10:DQ33)/24</f>
        <v>0.7803732717444491</v>
      </c>
      <c r="DR34" s="137">
        <f>SUM(DR10:DR33)</f>
        <v>34</v>
      </c>
      <c r="DS34" s="162">
        <f>SUM(DS10:DS33)/24</f>
        <v>0.6458333333333334</v>
      </c>
      <c r="DT34" s="127">
        <f>SUM(DT10:DT33)</f>
        <v>24</v>
      </c>
      <c r="DU34" s="113">
        <f>SUM(DU10:DU33)/24</f>
        <v>1</v>
      </c>
      <c r="DV34" s="112">
        <f>SUM(DV1:DV7)</f>
        <v>0</v>
      </c>
      <c r="DW34" s="127">
        <f>SUM(DW10:DW33)</f>
        <v>21</v>
      </c>
      <c r="DX34" s="113">
        <f>SUM(DX10:DX33)/24</f>
        <v>0.875</v>
      </c>
      <c r="DY34" s="112">
        <f>SUM(DY1:DY7)</f>
        <v>0</v>
      </c>
      <c r="DZ34" s="127">
        <f>SUM(DZ10:DZ33)</f>
        <v>22</v>
      </c>
      <c r="EA34" s="113">
        <f>SUM(EA10:EA33)/24</f>
        <v>0.9166666666666666</v>
      </c>
      <c r="EB34" s="133">
        <f>SUM(EB1:EB7)</f>
        <v>0</v>
      </c>
      <c r="EC34" s="127">
        <f>SUM(EC10:EC33)</f>
        <v>24</v>
      </c>
      <c r="ED34" s="113">
        <f>SUM(ED10:ED33)/24</f>
        <v>1</v>
      </c>
      <c r="EE34" s="127">
        <f>SUM(EE1:EE7)</f>
        <v>0</v>
      </c>
      <c r="EF34" s="127">
        <f>SUM(EF10:EF33)</f>
        <v>23</v>
      </c>
      <c r="EG34" s="113">
        <f>SUM(EG10:EG33)/24</f>
        <v>0.9583333333333334</v>
      </c>
      <c r="EH34" s="127">
        <f>SUM(EH1:EH7)</f>
        <v>0</v>
      </c>
      <c r="EI34" s="127">
        <f>SUM(EI10:EI33)</f>
        <v>21</v>
      </c>
      <c r="EJ34" s="113">
        <f>SUM(EJ10:EJ33)/24</f>
        <v>0.875</v>
      </c>
      <c r="EK34" s="112">
        <f>SUM(EK1:EK7)</f>
        <v>0</v>
      </c>
      <c r="EL34" s="127">
        <f>SUM(EL10:EL33)</f>
        <v>0</v>
      </c>
      <c r="EM34" s="113">
        <f>SUM(EM10:EM33)/24</f>
        <v>0</v>
      </c>
      <c r="EN34" s="163"/>
      <c r="EO34" s="162"/>
      <c r="EP34" s="134">
        <f>SUM(EP10:EP33)/24</f>
        <v>21.96452863273639</v>
      </c>
      <c r="EQ34" s="135" t="s">
        <v>142</v>
      </c>
      <c r="ER34" s="429">
        <v>1.617</v>
      </c>
      <c r="ES34" s="137" t="s">
        <v>142</v>
      </c>
      <c r="EU34" s="54">
        <v>21.81090431085457</v>
      </c>
      <c r="EV34" s="54" t="s">
        <v>142</v>
      </c>
      <c r="EW34" s="54">
        <v>1.552704073700215</v>
      </c>
      <c r="EX34" s="54" t="s">
        <v>142</v>
      </c>
    </row>
    <row r="35" spans="7:147" ht="22.5" customHeight="1">
      <c r="G35" s="139">
        <v>116757.22700000001</v>
      </c>
      <c r="H35" s="139">
        <v>157817.09526999996</v>
      </c>
      <c r="I35" s="139">
        <v>-0.3516687516910619</v>
      </c>
      <c r="J35" s="139">
        <v>0.26837139766647744</v>
      </c>
      <c r="K35" s="139">
        <v>157817.09526999996</v>
      </c>
      <c r="L35" s="139">
        <v>370670.69106</v>
      </c>
      <c r="M35" s="139">
        <v>0.4257609222317885</v>
      </c>
      <c r="N35" s="139">
        <v>0.5083333333333334</v>
      </c>
      <c r="O35" s="139">
        <v>157817.09526999996</v>
      </c>
      <c r="P35" s="139">
        <v>157435.29593</v>
      </c>
      <c r="Q35" s="139">
        <v>1.0024251190798392</v>
      </c>
      <c r="R35" s="139">
        <v>0.9719682722171762</v>
      </c>
      <c r="S35" s="139">
        <v>157817.09526999996</v>
      </c>
      <c r="T35" s="139">
        <v>114520.834</v>
      </c>
      <c r="U35" s="139">
        <v>1.3780644949721546</v>
      </c>
      <c r="V35" s="139">
        <v>0.7916666666666666</v>
      </c>
      <c r="W35" s="139">
        <v>14904.455000000002</v>
      </c>
      <c r="X35" s="139">
        <v>30739.06289999999</v>
      </c>
      <c r="Y35" s="139">
        <v>2.062407709641177</v>
      </c>
      <c r="Z35" s="139">
        <v>0.08333333333333333</v>
      </c>
      <c r="AA35" s="139">
        <v>30739.06289999999</v>
      </c>
      <c r="AB35" s="139">
        <v>134561.63793000003</v>
      </c>
      <c r="AC35" s="139">
        <v>0.22843853101721814</v>
      </c>
      <c r="AD35" s="139">
        <v>0</v>
      </c>
      <c r="AE35" s="139">
        <v>212853.59579000002</v>
      </c>
      <c r="AF35" s="139">
        <v>370670.69067999994</v>
      </c>
      <c r="AG35" s="139">
        <v>5027.411999999999</v>
      </c>
      <c r="AH35" s="139">
        <v>0.5644327420568246</v>
      </c>
      <c r="AI35" s="139">
        <v>0.47916666666666674</v>
      </c>
      <c r="AJ35" s="139">
        <v>32490.640230000005</v>
      </c>
      <c r="AK35" s="139">
        <v>7622.0340000000015</v>
      </c>
      <c r="AL35" s="139">
        <v>24868.606230000005</v>
      </c>
      <c r="AM35" s="139">
        <v>0.625</v>
      </c>
      <c r="AT35" s="140">
        <f aca="true" t="shared" si="46" ref="AT35:AT79">AT34</f>
        <v>382678.9</v>
      </c>
      <c r="AU35" s="3">
        <f>AU33*100/AT33</f>
        <v>56.26687398402714</v>
      </c>
      <c r="AV35" s="3">
        <f>AU35*100%/AT35</f>
        <v>0.00014703416881366372</v>
      </c>
      <c r="BD35" s="140">
        <f aca="true" t="shared" si="47" ref="BD35:BD66">BD34</f>
        <v>3818.9220206374866</v>
      </c>
      <c r="BK35" s="140">
        <f aca="true" t="shared" si="48" ref="BK35:BK66">BK34</f>
        <v>674.0950754445843</v>
      </c>
      <c r="BL35" s="3">
        <f>BJ34*100/AT34</f>
        <v>17.651449068657826</v>
      </c>
      <c r="BX35" s="141"/>
      <c r="BY35" s="141"/>
      <c r="CB35" s="141"/>
      <c r="CC35" s="141"/>
      <c r="CF35" s="141"/>
      <c r="CG35" s="141"/>
      <c r="CI35" s="141"/>
      <c r="CJ35" s="141"/>
      <c r="CK35" s="141"/>
      <c r="CL35" s="141"/>
      <c r="CM35" s="141"/>
      <c r="CN35" s="141"/>
      <c r="CO35" s="141"/>
      <c r="CX35" s="141"/>
      <c r="CY35" s="141"/>
      <c r="CZ35" s="141"/>
      <c r="DA35" s="141"/>
      <c r="DB35" s="141"/>
      <c r="DS35" s="3" t="s">
        <v>143</v>
      </c>
      <c r="EM35" s="3" t="s">
        <v>144</v>
      </c>
      <c r="EP35" s="140">
        <f>EP34+ER34+0.1</f>
        <v>23.68152863273639</v>
      </c>
      <c r="EQ35" s="3" t="s">
        <v>145</v>
      </c>
    </row>
    <row r="36" spans="7:147" ht="15.75">
      <c r="G36" s="142">
        <f aca="true" t="shared" si="49" ref="G36:AM36">G35-G34</f>
        <v>-53184.71298999997</v>
      </c>
      <c r="H36" s="142">
        <f t="shared" si="49"/>
        <v>-40867.81797000006</v>
      </c>
      <c r="I36" s="142">
        <f t="shared" si="49"/>
        <v>-0.18253467418381802</v>
      </c>
      <c r="J36" s="142">
        <f t="shared" si="49"/>
        <v>0.07704959970420891</v>
      </c>
      <c r="K36" s="142">
        <f t="shared" si="49"/>
        <v>-40867.81797000006</v>
      </c>
      <c r="L36" s="142">
        <f t="shared" si="49"/>
        <v>-2466.690190000052</v>
      </c>
      <c r="M36" s="142">
        <f t="shared" si="49"/>
        <v>-0.10671028870508137</v>
      </c>
      <c r="N36" s="142">
        <f t="shared" si="49"/>
        <v>-0.125</v>
      </c>
      <c r="O36" s="142">
        <f t="shared" si="49"/>
        <v>-40867.81797000006</v>
      </c>
      <c r="P36" s="142">
        <f t="shared" si="49"/>
        <v>-35432.560880000034</v>
      </c>
      <c r="Q36" s="142">
        <f t="shared" si="49"/>
        <v>-0.027735720192256563</v>
      </c>
      <c r="R36" s="142">
        <f t="shared" si="49"/>
        <v>-0.006579787714312779</v>
      </c>
      <c r="S36" s="142">
        <f t="shared" si="49"/>
        <v>-40867.81797000006</v>
      </c>
      <c r="T36" s="142">
        <f t="shared" si="49"/>
        <v>-43296.26126999999</v>
      </c>
      <c r="U36" s="142">
        <f t="shared" si="49"/>
        <v>0.11910764432120513</v>
      </c>
      <c r="V36" s="142">
        <f t="shared" si="49"/>
        <v>-0.125</v>
      </c>
      <c r="W36" s="142">
        <f t="shared" si="49"/>
        <v>-15834.607899999992</v>
      </c>
      <c r="X36" s="142">
        <f t="shared" si="49"/>
        <v>-18821.492800000015</v>
      </c>
      <c r="Y36" s="142">
        <f t="shared" si="49"/>
        <v>0.45010886171500863</v>
      </c>
      <c r="Z36" s="142">
        <f t="shared" si="49"/>
        <v>0.029166666666666653</v>
      </c>
      <c r="AA36" s="142">
        <f t="shared" si="49"/>
        <v>-18821.492800000015</v>
      </c>
      <c r="AB36" s="142">
        <f t="shared" si="49"/>
        <v>-31582.076839999965</v>
      </c>
      <c r="AC36" s="142">
        <f t="shared" si="49"/>
        <v>-0.06986078032663165</v>
      </c>
      <c r="AD36" s="142">
        <f t="shared" si="49"/>
        <v>-0.7149501009900274</v>
      </c>
      <c r="AE36" s="142">
        <f t="shared" si="49"/>
        <v>38401.12778000001</v>
      </c>
      <c r="AF36" s="142">
        <f t="shared" si="49"/>
        <v>-2466.6905700000934</v>
      </c>
      <c r="AG36" s="142">
        <f t="shared" si="49"/>
        <v>-173.34800000000087</v>
      </c>
      <c r="AH36" s="142">
        <f t="shared" si="49"/>
        <v>0.09029546423618146</v>
      </c>
      <c r="AI36" s="142">
        <f t="shared" si="49"/>
        <v>-0.15416666666666667</v>
      </c>
      <c r="AJ36" s="142">
        <f t="shared" si="49"/>
        <v>618.6402300000045</v>
      </c>
      <c r="AK36" s="142">
        <f t="shared" si="49"/>
        <v>10631.333999999999</v>
      </c>
      <c r="AL36" s="142">
        <f t="shared" si="49"/>
        <v>-10012.69376999999</v>
      </c>
      <c r="AM36" s="142">
        <f t="shared" si="49"/>
        <v>0.125</v>
      </c>
      <c r="AN36" s="142"/>
      <c r="AO36" s="142"/>
      <c r="AP36" s="142"/>
      <c r="AQ36" s="142"/>
      <c r="AT36" s="140">
        <f t="shared" si="46"/>
        <v>382678.9</v>
      </c>
      <c r="BD36" s="140">
        <f t="shared" si="47"/>
        <v>3818.9220206374866</v>
      </c>
      <c r="BK36" s="140">
        <f t="shared" si="48"/>
        <v>674.0950754445843</v>
      </c>
      <c r="BX36" s="141"/>
      <c r="BY36" s="141"/>
      <c r="CB36" s="141"/>
      <c r="CC36" s="141"/>
      <c r="CF36" s="141"/>
      <c r="CG36" s="141"/>
      <c r="CI36" s="141"/>
      <c r="CJ36" s="141"/>
      <c r="CK36" s="141"/>
      <c r="CL36" s="141"/>
      <c r="CM36" s="141"/>
      <c r="CN36" s="141"/>
      <c r="CO36" s="141"/>
      <c r="CX36" s="141"/>
      <c r="CY36" s="141"/>
      <c r="CZ36" s="141"/>
      <c r="DA36" s="141"/>
      <c r="DB36" s="141"/>
      <c r="DS36" s="3" t="s">
        <v>143</v>
      </c>
      <c r="EM36" s="3" t="s">
        <v>146</v>
      </c>
      <c r="EP36" s="140">
        <f>EP34-ER34+0.1</f>
        <v>20.44752863273639</v>
      </c>
      <c r="EQ36" s="3" t="s">
        <v>147</v>
      </c>
    </row>
    <row r="37" spans="46:147" ht="15.75">
      <c r="AT37" s="140">
        <f t="shared" si="46"/>
        <v>382678.9</v>
      </c>
      <c r="BD37" s="140">
        <f t="shared" si="47"/>
        <v>3818.9220206374866</v>
      </c>
      <c r="BK37" s="140">
        <f t="shared" si="48"/>
        <v>674.0950754445843</v>
      </c>
      <c r="EM37" s="3" t="s">
        <v>148</v>
      </c>
      <c r="EQ37" s="3" t="s">
        <v>149</v>
      </c>
    </row>
    <row r="38" spans="46:63" ht="15.75">
      <c r="AT38" s="140">
        <f t="shared" si="46"/>
        <v>382678.9</v>
      </c>
      <c r="BD38" s="140">
        <f t="shared" si="47"/>
        <v>3818.9220206374866</v>
      </c>
      <c r="BK38" s="140">
        <f t="shared" si="48"/>
        <v>674.0950754445843</v>
      </c>
    </row>
    <row r="39" spans="46:63" ht="15.75">
      <c r="AT39" s="140">
        <f t="shared" si="46"/>
        <v>382678.9</v>
      </c>
      <c r="BD39" s="140">
        <f t="shared" si="47"/>
        <v>3818.9220206374866</v>
      </c>
      <c r="BK39" s="140">
        <f t="shared" si="48"/>
        <v>674.0950754445843</v>
      </c>
    </row>
    <row r="40" spans="46:63" ht="15.75">
      <c r="AT40" s="140">
        <f t="shared" si="46"/>
        <v>382678.9</v>
      </c>
      <c r="BD40" s="140">
        <f t="shared" si="47"/>
        <v>3818.9220206374866</v>
      </c>
      <c r="BK40" s="140">
        <f t="shared" si="48"/>
        <v>674.0950754445843</v>
      </c>
    </row>
    <row r="41" spans="46:63" ht="15.75">
      <c r="AT41" s="140">
        <f t="shared" si="46"/>
        <v>382678.9</v>
      </c>
      <c r="BD41" s="140">
        <f t="shared" si="47"/>
        <v>3818.9220206374866</v>
      </c>
      <c r="BK41" s="140">
        <f t="shared" si="48"/>
        <v>674.0950754445843</v>
      </c>
    </row>
    <row r="42" spans="46:63" ht="15.75">
      <c r="AT42" s="140">
        <f t="shared" si="46"/>
        <v>382678.9</v>
      </c>
      <c r="BD42" s="140">
        <f t="shared" si="47"/>
        <v>3818.9220206374866</v>
      </c>
      <c r="BK42" s="140">
        <f t="shared" si="48"/>
        <v>674.0950754445843</v>
      </c>
    </row>
    <row r="43" spans="46:63" ht="15.75">
      <c r="AT43" s="140">
        <f t="shared" si="46"/>
        <v>382678.9</v>
      </c>
      <c r="BD43" s="140">
        <f t="shared" si="47"/>
        <v>3818.9220206374866</v>
      </c>
      <c r="BK43" s="140">
        <f t="shared" si="48"/>
        <v>674.0950754445843</v>
      </c>
    </row>
    <row r="44" spans="46:63" ht="15.75">
      <c r="AT44" s="140">
        <f t="shared" si="46"/>
        <v>382678.9</v>
      </c>
      <c r="BD44" s="140">
        <f t="shared" si="47"/>
        <v>3818.9220206374866</v>
      </c>
      <c r="BK44" s="140">
        <f t="shared" si="48"/>
        <v>674.0950754445843</v>
      </c>
    </row>
    <row r="45" spans="46:63" ht="15.75">
      <c r="AT45" s="140">
        <f t="shared" si="46"/>
        <v>382678.9</v>
      </c>
      <c r="BD45" s="140">
        <f t="shared" si="47"/>
        <v>3818.9220206374866</v>
      </c>
      <c r="BK45" s="140">
        <f t="shared" si="48"/>
        <v>674.0950754445843</v>
      </c>
    </row>
    <row r="46" spans="46:63" ht="15.75">
      <c r="AT46" s="140">
        <f t="shared" si="46"/>
        <v>382678.9</v>
      </c>
      <c r="BD46" s="140">
        <f t="shared" si="47"/>
        <v>3818.9220206374866</v>
      </c>
      <c r="BK46" s="140">
        <f t="shared" si="48"/>
        <v>674.0950754445843</v>
      </c>
    </row>
    <row r="47" spans="46:63" ht="15.75">
      <c r="AT47" s="140">
        <f t="shared" si="46"/>
        <v>382678.9</v>
      </c>
      <c r="BD47" s="140">
        <f t="shared" si="47"/>
        <v>3818.9220206374866</v>
      </c>
      <c r="BK47" s="140">
        <f t="shared" si="48"/>
        <v>674.0950754445843</v>
      </c>
    </row>
    <row r="48" spans="46:63" ht="15.75">
      <c r="AT48" s="140">
        <f t="shared" si="46"/>
        <v>382678.9</v>
      </c>
      <c r="BD48" s="140">
        <f t="shared" si="47"/>
        <v>3818.9220206374866</v>
      </c>
      <c r="BK48" s="140">
        <f t="shared" si="48"/>
        <v>674.0950754445843</v>
      </c>
    </row>
    <row r="49" spans="46:63" ht="15.75">
      <c r="AT49" s="140">
        <f t="shared" si="46"/>
        <v>382678.9</v>
      </c>
      <c r="BD49" s="140">
        <f t="shared" si="47"/>
        <v>3818.9220206374866</v>
      </c>
      <c r="BK49" s="140">
        <f t="shared" si="48"/>
        <v>674.0950754445843</v>
      </c>
    </row>
    <row r="50" spans="46:63" ht="15.75">
      <c r="AT50" s="140">
        <f t="shared" si="46"/>
        <v>382678.9</v>
      </c>
      <c r="BD50" s="140">
        <f t="shared" si="47"/>
        <v>3818.9220206374866</v>
      </c>
      <c r="BK50" s="140">
        <f t="shared" si="48"/>
        <v>674.0950754445843</v>
      </c>
    </row>
    <row r="51" spans="46:63" ht="15.75">
      <c r="AT51" s="140">
        <f t="shared" si="46"/>
        <v>382678.9</v>
      </c>
      <c r="BD51" s="140">
        <f t="shared" si="47"/>
        <v>3818.9220206374866</v>
      </c>
      <c r="BK51" s="140">
        <f t="shared" si="48"/>
        <v>674.0950754445843</v>
      </c>
    </row>
    <row r="52" spans="46:63" ht="15.75">
      <c r="AT52" s="140">
        <f t="shared" si="46"/>
        <v>382678.9</v>
      </c>
      <c r="BD52" s="140">
        <f t="shared" si="47"/>
        <v>3818.9220206374866</v>
      </c>
      <c r="BK52" s="140">
        <f t="shared" si="48"/>
        <v>674.0950754445843</v>
      </c>
    </row>
    <row r="53" spans="46:63" ht="15.75">
      <c r="AT53" s="140">
        <f t="shared" si="46"/>
        <v>382678.9</v>
      </c>
      <c r="BD53" s="140">
        <f t="shared" si="47"/>
        <v>3818.9220206374866</v>
      </c>
      <c r="BK53" s="140">
        <f t="shared" si="48"/>
        <v>674.0950754445843</v>
      </c>
    </row>
    <row r="54" spans="46:63" ht="15.75">
      <c r="AT54" s="140">
        <f t="shared" si="46"/>
        <v>382678.9</v>
      </c>
      <c r="BD54" s="140">
        <f t="shared" si="47"/>
        <v>3818.9220206374866</v>
      </c>
      <c r="BK54" s="140">
        <f t="shared" si="48"/>
        <v>674.0950754445843</v>
      </c>
    </row>
    <row r="55" spans="46:63" ht="15.75">
      <c r="AT55" s="140">
        <f t="shared" si="46"/>
        <v>382678.9</v>
      </c>
      <c r="BD55" s="140">
        <f t="shared" si="47"/>
        <v>3818.9220206374866</v>
      </c>
      <c r="BK55" s="140">
        <f t="shared" si="48"/>
        <v>674.0950754445843</v>
      </c>
    </row>
    <row r="56" spans="46:63" ht="15.75">
      <c r="AT56" s="140">
        <f t="shared" si="46"/>
        <v>382678.9</v>
      </c>
      <c r="BD56" s="140">
        <f t="shared" si="47"/>
        <v>3818.9220206374866</v>
      </c>
      <c r="BK56" s="140">
        <f t="shared" si="48"/>
        <v>674.0950754445843</v>
      </c>
    </row>
    <row r="57" spans="46:63" ht="15.75">
      <c r="AT57" s="140">
        <f t="shared" si="46"/>
        <v>382678.9</v>
      </c>
      <c r="BD57" s="140">
        <f t="shared" si="47"/>
        <v>3818.9220206374866</v>
      </c>
      <c r="BK57" s="140">
        <f t="shared" si="48"/>
        <v>674.0950754445843</v>
      </c>
    </row>
    <row r="58" spans="46:63" ht="15.75">
      <c r="AT58" s="140">
        <f t="shared" si="46"/>
        <v>382678.9</v>
      </c>
      <c r="BD58" s="140">
        <f t="shared" si="47"/>
        <v>3818.9220206374866</v>
      </c>
      <c r="BK58" s="140">
        <f t="shared" si="48"/>
        <v>674.0950754445843</v>
      </c>
    </row>
    <row r="59" spans="46:63" ht="15.75">
      <c r="AT59" s="140">
        <f t="shared" si="46"/>
        <v>382678.9</v>
      </c>
      <c r="BD59" s="140">
        <f t="shared" si="47"/>
        <v>3818.9220206374866</v>
      </c>
      <c r="BK59" s="140">
        <f t="shared" si="48"/>
        <v>674.0950754445843</v>
      </c>
    </row>
    <row r="60" spans="46:63" ht="15.75">
      <c r="AT60" s="140">
        <f t="shared" si="46"/>
        <v>382678.9</v>
      </c>
      <c r="BD60" s="140">
        <f t="shared" si="47"/>
        <v>3818.9220206374866</v>
      </c>
      <c r="BK60" s="140">
        <f t="shared" si="48"/>
        <v>674.0950754445843</v>
      </c>
    </row>
    <row r="61" spans="46:63" ht="15.75">
      <c r="AT61" s="140">
        <f t="shared" si="46"/>
        <v>382678.9</v>
      </c>
      <c r="BD61" s="140">
        <f t="shared" si="47"/>
        <v>3818.9220206374866</v>
      </c>
      <c r="BK61" s="140">
        <f t="shared" si="48"/>
        <v>674.0950754445843</v>
      </c>
    </row>
    <row r="62" spans="46:63" ht="15.75">
      <c r="AT62" s="140">
        <f t="shared" si="46"/>
        <v>382678.9</v>
      </c>
      <c r="BD62" s="140">
        <f t="shared" si="47"/>
        <v>3818.9220206374866</v>
      </c>
      <c r="BK62" s="140">
        <f t="shared" si="48"/>
        <v>674.0950754445843</v>
      </c>
    </row>
    <row r="63" spans="46:63" ht="15.75">
      <c r="AT63" s="140">
        <f t="shared" si="46"/>
        <v>382678.9</v>
      </c>
      <c r="BD63" s="140">
        <f t="shared" si="47"/>
        <v>3818.9220206374866</v>
      </c>
      <c r="BK63" s="140">
        <f t="shared" si="48"/>
        <v>674.0950754445843</v>
      </c>
    </row>
    <row r="64" spans="46:63" ht="15.75">
      <c r="AT64" s="140">
        <f t="shared" si="46"/>
        <v>382678.9</v>
      </c>
      <c r="BD64" s="140">
        <f t="shared" si="47"/>
        <v>3818.9220206374866</v>
      </c>
      <c r="BK64" s="140">
        <f t="shared" si="48"/>
        <v>674.0950754445843</v>
      </c>
    </row>
    <row r="65" spans="46:63" ht="15.75">
      <c r="AT65" s="140">
        <f t="shared" si="46"/>
        <v>382678.9</v>
      </c>
      <c r="BD65" s="140">
        <f t="shared" si="47"/>
        <v>3818.9220206374866</v>
      </c>
      <c r="BK65" s="140">
        <f t="shared" si="48"/>
        <v>674.0950754445843</v>
      </c>
    </row>
    <row r="66" spans="46:63" ht="15.75">
      <c r="AT66" s="140">
        <f t="shared" si="46"/>
        <v>382678.9</v>
      </c>
      <c r="BD66" s="140">
        <f t="shared" si="47"/>
        <v>3818.9220206374866</v>
      </c>
      <c r="BK66" s="140">
        <f t="shared" si="48"/>
        <v>674.0950754445843</v>
      </c>
    </row>
    <row r="67" spans="46:63" ht="15.75">
      <c r="AT67" s="140">
        <f t="shared" si="46"/>
        <v>382678.9</v>
      </c>
      <c r="BD67" s="140">
        <f aca="true" t="shared" si="50" ref="BD67:BD90">BD66</f>
        <v>3818.9220206374866</v>
      </c>
      <c r="BK67" s="140">
        <f aca="true" t="shared" si="51" ref="BK67:BK99">BK66</f>
        <v>674.0950754445843</v>
      </c>
    </row>
    <row r="68" spans="46:63" ht="15.75">
      <c r="AT68" s="140">
        <f t="shared" si="46"/>
        <v>382678.9</v>
      </c>
      <c r="BD68" s="140">
        <f t="shared" si="50"/>
        <v>3818.9220206374866</v>
      </c>
      <c r="BK68" s="140">
        <f t="shared" si="51"/>
        <v>674.0950754445843</v>
      </c>
    </row>
    <row r="69" spans="46:63" ht="15.75">
      <c r="AT69" s="140">
        <f t="shared" si="46"/>
        <v>382678.9</v>
      </c>
      <c r="BD69" s="140">
        <f t="shared" si="50"/>
        <v>3818.9220206374866</v>
      </c>
      <c r="BK69" s="140">
        <f t="shared" si="51"/>
        <v>674.0950754445843</v>
      </c>
    </row>
    <row r="70" spans="46:63" ht="15.75">
      <c r="AT70" s="140">
        <f t="shared" si="46"/>
        <v>382678.9</v>
      </c>
      <c r="BD70" s="140">
        <f t="shared" si="50"/>
        <v>3818.9220206374866</v>
      </c>
      <c r="BK70" s="140">
        <f t="shared" si="51"/>
        <v>674.0950754445843</v>
      </c>
    </row>
    <row r="71" spans="46:63" ht="15.75">
      <c r="AT71" s="140">
        <f t="shared" si="46"/>
        <v>382678.9</v>
      </c>
      <c r="BD71" s="140">
        <f t="shared" si="50"/>
        <v>3818.9220206374866</v>
      </c>
      <c r="BK71" s="140">
        <f t="shared" si="51"/>
        <v>674.0950754445843</v>
      </c>
    </row>
    <row r="72" spans="46:63" ht="15.75">
      <c r="AT72" s="140">
        <f t="shared" si="46"/>
        <v>382678.9</v>
      </c>
      <c r="BD72" s="140">
        <f t="shared" si="50"/>
        <v>3818.9220206374866</v>
      </c>
      <c r="BK72" s="140">
        <f t="shared" si="51"/>
        <v>674.0950754445843</v>
      </c>
    </row>
    <row r="73" spans="46:63" ht="15.75">
      <c r="AT73" s="140">
        <f t="shared" si="46"/>
        <v>382678.9</v>
      </c>
      <c r="BD73" s="140">
        <f t="shared" si="50"/>
        <v>3818.9220206374866</v>
      </c>
      <c r="BK73" s="140">
        <f t="shared" si="51"/>
        <v>674.0950754445843</v>
      </c>
    </row>
    <row r="74" spans="46:63" ht="15.75">
      <c r="AT74" s="140">
        <f t="shared" si="46"/>
        <v>382678.9</v>
      </c>
      <c r="BD74" s="140">
        <f t="shared" si="50"/>
        <v>3818.9220206374866</v>
      </c>
      <c r="BK74" s="140">
        <f t="shared" si="51"/>
        <v>674.0950754445843</v>
      </c>
    </row>
    <row r="75" spans="46:63" ht="15.75">
      <c r="AT75" s="140">
        <f t="shared" si="46"/>
        <v>382678.9</v>
      </c>
      <c r="BD75" s="140">
        <f t="shared" si="50"/>
        <v>3818.9220206374866</v>
      </c>
      <c r="BK75" s="140">
        <f t="shared" si="51"/>
        <v>674.0950754445843</v>
      </c>
    </row>
    <row r="76" spans="46:63" ht="15.75">
      <c r="AT76" s="140">
        <f t="shared" si="46"/>
        <v>382678.9</v>
      </c>
      <c r="BD76" s="140">
        <f t="shared" si="50"/>
        <v>3818.9220206374866</v>
      </c>
      <c r="BK76" s="140">
        <f t="shared" si="51"/>
        <v>674.0950754445843</v>
      </c>
    </row>
    <row r="77" spans="46:63" ht="15.75">
      <c r="AT77" s="140">
        <f t="shared" si="46"/>
        <v>382678.9</v>
      </c>
      <c r="BD77" s="140">
        <f t="shared" si="50"/>
        <v>3818.9220206374866</v>
      </c>
      <c r="BK77" s="140">
        <f t="shared" si="51"/>
        <v>674.0950754445843</v>
      </c>
    </row>
    <row r="78" spans="46:63" ht="15.75">
      <c r="AT78" s="140">
        <f t="shared" si="46"/>
        <v>382678.9</v>
      </c>
      <c r="BD78" s="140">
        <f t="shared" si="50"/>
        <v>3818.9220206374866</v>
      </c>
      <c r="BK78" s="140">
        <f t="shared" si="51"/>
        <v>674.0950754445843</v>
      </c>
    </row>
    <row r="79" spans="46:63" ht="15.75">
      <c r="AT79" s="140">
        <f t="shared" si="46"/>
        <v>382678.9</v>
      </c>
      <c r="BD79" s="140">
        <f t="shared" si="50"/>
        <v>3818.9220206374866</v>
      </c>
      <c r="BK79" s="140">
        <f t="shared" si="51"/>
        <v>674.0950754445843</v>
      </c>
    </row>
    <row r="80" spans="56:63" ht="15.75">
      <c r="BD80" s="140">
        <f t="shared" si="50"/>
        <v>3818.9220206374866</v>
      </c>
      <c r="BK80" s="140">
        <f t="shared" si="51"/>
        <v>674.0950754445843</v>
      </c>
    </row>
    <row r="81" spans="56:63" ht="15.75">
      <c r="BD81" s="140">
        <f t="shared" si="50"/>
        <v>3818.9220206374866</v>
      </c>
      <c r="BK81" s="140">
        <f t="shared" si="51"/>
        <v>674.0950754445843</v>
      </c>
    </row>
    <row r="82" spans="56:63" ht="15.75">
      <c r="BD82" s="140">
        <f t="shared" si="50"/>
        <v>3818.9220206374866</v>
      </c>
      <c r="BK82" s="140">
        <f t="shared" si="51"/>
        <v>674.0950754445843</v>
      </c>
    </row>
    <row r="83" spans="56:63" ht="15.75">
      <c r="BD83" s="140">
        <f t="shared" si="50"/>
        <v>3818.9220206374866</v>
      </c>
      <c r="BK83" s="140">
        <f t="shared" si="51"/>
        <v>674.0950754445843</v>
      </c>
    </row>
    <row r="84" spans="56:63" ht="15.75">
      <c r="BD84" s="140">
        <f t="shared" si="50"/>
        <v>3818.9220206374866</v>
      </c>
      <c r="BK84" s="140">
        <f t="shared" si="51"/>
        <v>674.0950754445843</v>
      </c>
    </row>
    <row r="85" spans="56:63" ht="15.75">
      <c r="BD85" s="140">
        <f t="shared" si="50"/>
        <v>3818.9220206374866</v>
      </c>
      <c r="BK85" s="140">
        <f t="shared" si="51"/>
        <v>674.0950754445843</v>
      </c>
    </row>
    <row r="86" spans="56:63" ht="15.75">
      <c r="BD86" s="140">
        <f t="shared" si="50"/>
        <v>3818.9220206374866</v>
      </c>
      <c r="BK86" s="140">
        <f t="shared" si="51"/>
        <v>674.0950754445843</v>
      </c>
    </row>
    <row r="87" spans="56:63" ht="15.75">
      <c r="BD87" s="140">
        <f t="shared" si="50"/>
        <v>3818.9220206374866</v>
      </c>
      <c r="BK87" s="140">
        <f t="shared" si="51"/>
        <v>674.0950754445843</v>
      </c>
    </row>
    <row r="88" spans="56:63" ht="15.75">
      <c r="BD88" s="140">
        <f t="shared" si="50"/>
        <v>3818.9220206374866</v>
      </c>
      <c r="BK88" s="140">
        <f t="shared" si="51"/>
        <v>674.0950754445843</v>
      </c>
    </row>
    <row r="89" spans="56:63" ht="15.75">
      <c r="BD89" s="140">
        <f t="shared" si="50"/>
        <v>3818.9220206374866</v>
      </c>
      <c r="BK89" s="140">
        <f t="shared" si="51"/>
        <v>674.0950754445843</v>
      </c>
    </row>
    <row r="90" spans="56:63" ht="15.75">
      <c r="BD90" s="140">
        <f t="shared" si="50"/>
        <v>3818.9220206374866</v>
      </c>
      <c r="BK90" s="140">
        <f t="shared" si="51"/>
        <v>674.0950754445843</v>
      </c>
    </row>
    <row r="91" ht="15.75">
      <c r="BK91" s="140">
        <f t="shared" si="51"/>
        <v>674.0950754445843</v>
      </c>
    </row>
    <row r="92" ht="15.75">
      <c r="BK92" s="140">
        <f t="shared" si="51"/>
        <v>674.0950754445843</v>
      </c>
    </row>
    <row r="93" ht="15.75">
      <c r="BK93" s="140">
        <f t="shared" si="51"/>
        <v>674.0950754445843</v>
      </c>
    </row>
    <row r="94" ht="15.75">
      <c r="BK94" s="140">
        <f t="shared" si="51"/>
        <v>674.0950754445843</v>
      </c>
    </row>
    <row r="95" ht="15.75">
      <c r="BK95" s="140">
        <f t="shared" si="51"/>
        <v>674.0950754445843</v>
      </c>
    </row>
    <row r="96" ht="15.75">
      <c r="BK96" s="140">
        <f t="shared" si="51"/>
        <v>674.0950754445843</v>
      </c>
    </row>
    <row r="97" ht="15.75">
      <c r="BK97" s="140">
        <f t="shared" si="51"/>
        <v>674.0950754445843</v>
      </c>
    </row>
    <row r="98" ht="15.75">
      <c r="BK98" s="140">
        <f t="shared" si="51"/>
        <v>674.0950754445843</v>
      </c>
    </row>
    <row r="99" ht="15.75">
      <c r="BK99" s="140">
        <f t="shared" si="51"/>
        <v>674.0950754445843</v>
      </c>
    </row>
  </sheetData>
  <sheetProtection/>
  <mergeCells count="185">
    <mergeCell ref="DT4:DU6"/>
    <mergeCell ref="DT7:DU7"/>
    <mergeCell ref="EN4:EO6"/>
    <mergeCell ref="EN7:EO7"/>
    <mergeCell ref="DY4:EA6"/>
    <mergeCell ref="DY7:EA7"/>
    <mergeCell ref="EH7:EJ7"/>
    <mergeCell ref="EE4:EG6"/>
    <mergeCell ref="EE7:EG7"/>
    <mergeCell ref="EH4:EJ6"/>
    <mergeCell ref="BA8:BA9"/>
    <mergeCell ref="AP8:AP9"/>
    <mergeCell ref="AS8:AS9"/>
    <mergeCell ref="DR4:DS6"/>
    <mergeCell ref="DR7:DS7"/>
    <mergeCell ref="BC8:BC9"/>
    <mergeCell ref="AX4:BB6"/>
    <mergeCell ref="AX7:BB7"/>
    <mergeCell ref="AT8:AT9"/>
    <mergeCell ref="BL8:BL9"/>
    <mergeCell ref="EN8:EN9"/>
    <mergeCell ref="EO8:EO9"/>
    <mergeCell ref="CR8:CS8"/>
    <mergeCell ref="BJ4:BM6"/>
    <mergeCell ref="BJ7:BM7"/>
    <mergeCell ref="BS4:BU6"/>
    <mergeCell ref="BV4:BW6"/>
    <mergeCell ref="BR8:BR9"/>
    <mergeCell ref="BQ8:BQ9"/>
    <mergeCell ref="BP8:BP9"/>
    <mergeCell ref="AN8:AN9"/>
    <mergeCell ref="AQ8:AQ9"/>
    <mergeCell ref="AU8:AU9"/>
    <mergeCell ref="BV7:BW7"/>
    <mergeCell ref="BW8:BW9"/>
    <mergeCell ref="BN8:BN9"/>
    <mergeCell ref="BK8:BK9"/>
    <mergeCell ref="BO8:BO9"/>
    <mergeCell ref="BU8:BU9"/>
    <mergeCell ref="BV8:BV9"/>
    <mergeCell ref="BN4:BR6"/>
    <mergeCell ref="BN7:BR7"/>
    <mergeCell ref="BC7:BF7"/>
    <mergeCell ref="AE7:AI7"/>
    <mergeCell ref="AN7:AQ7"/>
    <mergeCell ref="AT7:AW7"/>
    <mergeCell ref="AJ4:AM6"/>
    <mergeCell ref="AJ7:AM7"/>
    <mergeCell ref="AN4:AQ6"/>
    <mergeCell ref="AT4:AW6"/>
    <mergeCell ref="AH8:AH9"/>
    <mergeCell ref="E8:E9"/>
    <mergeCell ref="F8:F9"/>
    <mergeCell ref="C4:D6"/>
    <mergeCell ref="E4:F6"/>
    <mergeCell ref="C8:C9"/>
    <mergeCell ref="D8:D9"/>
    <mergeCell ref="C7:D7"/>
    <mergeCell ref="E7:F7"/>
    <mergeCell ref="AA4:AD6"/>
    <mergeCell ref="S4:V6"/>
    <mergeCell ref="BC4:BF6"/>
    <mergeCell ref="S7:V7"/>
    <mergeCell ref="AA7:AD7"/>
    <mergeCell ref="W4:Z6"/>
    <mergeCell ref="W7:Z7"/>
    <mergeCell ref="AE4:AI6"/>
    <mergeCell ref="AF8:AF9"/>
    <mergeCell ref="EP4:ES7"/>
    <mergeCell ref="EP8:EP9"/>
    <mergeCell ref="EQ8:EQ9"/>
    <mergeCell ref="ES8:ES9"/>
    <mergeCell ref="ER8:ER9"/>
    <mergeCell ref="BE8:BE9"/>
    <mergeCell ref="AV8:AV9"/>
    <mergeCell ref="AX8:AX9"/>
    <mergeCell ref="BD8:BD9"/>
    <mergeCell ref="S8:S9"/>
    <mergeCell ref="AM8:AM9"/>
    <mergeCell ref="AL8:AL9"/>
    <mergeCell ref="AJ8:AJ9"/>
    <mergeCell ref="AC8:AC9"/>
    <mergeCell ref="AD8:AD9"/>
    <mergeCell ref="AE8:AE9"/>
    <mergeCell ref="AI8:AI9"/>
    <mergeCell ref="AG8:AG9"/>
    <mergeCell ref="AK8:AK9"/>
    <mergeCell ref="A4:A9"/>
    <mergeCell ref="B4:B9"/>
    <mergeCell ref="K4:N6"/>
    <mergeCell ref="O4:R6"/>
    <mergeCell ref="K7:N7"/>
    <mergeCell ref="R8:R9"/>
    <mergeCell ref="G4:J6"/>
    <mergeCell ref="O7:R7"/>
    <mergeCell ref="O8:O9"/>
    <mergeCell ref="G7:J7"/>
    <mergeCell ref="AB8:AB9"/>
    <mergeCell ref="AA8:AA9"/>
    <mergeCell ref="T8:T9"/>
    <mergeCell ref="U8:U9"/>
    <mergeCell ref="V8:V9"/>
    <mergeCell ref="Z8:Z9"/>
    <mergeCell ref="Y8:Y9"/>
    <mergeCell ref="X8:X9"/>
    <mergeCell ref="W8:W9"/>
    <mergeCell ref="G8:G9"/>
    <mergeCell ref="H8:H9"/>
    <mergeCell ref="I8:I9"/>
    <mergeCell ref="P8:P9"/>
    <mergeCell ref="Q8:Q9"/>
    <mergeCell ref="J8:J9"/>
    <mergeCell ref="L8:L9"/>
    <mergeCell ref="M8:M9"/>
    <mergeCell ref="N8:N9"/>
    <mergeCell ref="K8:K9"/>
    <mergeCell ref="BX7:CM7"/>
    <mergeCell ref="BX8:BY8"/>
    <mergeCell ref="CF8:CG8"/>
    <mergeCell ref="CH8:CI8"/>
    <mergeCell ref="CJ8:CK8"/>
    <mergeCell ref="CD8:CE8"/>
    <mergeCell ref="CL8:CM8"/>
    <mergeCell ref="AO8:AO9"/>
    <mergeCell ref="BM8:BM9"/>
    <mergeCell ref="BJ8:BJ9"/>
    <mergeCell ref="BS7:BU7"/>
    <mergeCell ref="BS8:BS9"/>
    <mergeCell ref="BT8:BT9"/>
    <mergeCell ref="AY8:AZ8"/>
    <mergeCell ref="AW8:AW9"/>
    <mergeCell ref="BB8:BB9"/>
    <mergeCell ref="BF8:BF9"/>
    <mergeCell ref="DD7:DO7"/>
    <mergeCell ref="CP8:CQ8"/>
    <mergeCell ref="DN8:DO8"/>
    <mergeCell ref="BZ8:CA8"/>
    <mergeCell ref="CB8:CC8"/>
    <mergeCell ref="DB8:DC8"/>
    <mergeCell ref="DH8:DI8"/>
    <mergeCell ref="DD8:DE8"/>
    <mergeCell ref="DJ8:DK8"/>
    <mergeCell ref="DF8:DG8"/>
    <mergeCell ref="BX4:CM6"/>
    <mergeCell ref="DQ8:DQ9"/>
    <mergeCell ref="CN4:DC6"/>
    <mergeCell ref="CT8:CU8"/>
    <mergeCell ref="DP4:DQ6"/>
    <mergeCell ref="DP7:DQ7"/>
    <mergeCell ref="DD4:DO6"/>
    <mergeCell ref="CN7:DC7"/>
    <mergeCell ref="DL8:DM8"/>
    <mergeCell ref="CN8:CO8"/>
    <mergeCell ref="DX8:DX9"/>
    <mergeCell ref="DV4:DX6"/>
    <mergeCell ref="DV7:DX7"/>
    <mergeCell ref="DV8:DV9"/>
    <mergeCell ref="DW8:DW9"/>
    <mergeCell ref="CV8:CW8"/>
    <mergeCell ref="CX8:CY8"/>
    <mergeCell ref="CZ8:DA8"/>
    <mergeCell ref="DP8:DP9"/>
    <mergeCell ref="EG8:EG9"/>
    <mergeCell ref="EC8:EC9"/>
    <mergeCell ref="EF8:EF9"/>
    <mergeCell ref="ED8:ED9"/>
    <mergeCell ref="EB4:ED6"/>
    <mergeCell ref="EB7:ED7"/>
    <mergeCell ref="EB8:EB9"/>
    <mergeCell ref="EE8:EE9"/>
    <mergeCell ref="EM8:EM9"/>
    <mergeCell ref="EK4:EM6"/>
    <mergeCell ref="EK7:EM7"/>
    <mergeCell ref="EK8:EK9"/>
    <mergeCell ref="EL8:EL9"/>
    <mergeCell ref="EJ8:EJ9"/>
    <mergeCell ref="DR8:DR9"/>
    <mergeCell ref="DT8:DT9"/>
    <mergeCell ref="EH8:EH9"/>
    <mergeCell ref="EI8:EI9"/>
    <mergeCell ref="DS8:DS9"/>
    <mergeCell ref="DU8:DU9"/>
    <mergeCell ref="DZ8:DZ9"/>
    <mergeCell ref="EA8:EA9"/>
    <mergeCell ref="DY8:DY9"/>
  </mergeCells>
  <printOptions horizontalCentered="1"/>
  <pageMargins left="0" right="0.1968503937007874" top="0.15748031496062992" bottom="0.15748031496062992" header="0.2362204724409449" footer="0.15748031496062992"/>
  <pageSetup fitToWidth="17" fitToHeight="1" horizontalDpi="600" verticalDpi="600" orientation="landscape" paperSize="9" scale="59" r:id="rId1"/>
  <headerFooter alignWithMargins="0">
    <oddHeader>&amp;C&amp;"Times New Roman,полужирный"&amp;16Сводная информация о достигнутых значениях показателей для оценки качества организации и осуществления бюджетного процесса в сельских (городском) поселениях Омского муниципального района за 2013 год
</oddHeader>
  </headerFooter>
  <colBreaks count="4" manualBreakCount="4">
    <brk id="19" max="33" man="1"/>
    <brk id="28" max="33" man="1"/>
    <brk id="123" max="33" man="1"/>
    <brk id="14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2015-02-24T15:01:46Z</cp:lastPrinted>
  <dcterms:created xsi:type="dcterms:W3CDTF">2014-03-04T06:36:48Z</dcterms:created>
  <dcterms:modified xsi:type="dcterms:W3CDTF">2015-02-24T15:01:57Z</dcterms:modified>
  <cp:category/>
  <cp:version/>
  <cp:contentType/>
  <cp:contentStatus/>
</cp:coreProperties>
</file>